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Z:\GE projekt - projekti\329 - 2021 -  Obcina Brezovica - Konkurenčni dialog Občina Brezovica\KONKURENČNI DIALOG\junij 2022  - pogajanja\v3\"/>
    </mc:Choice>
  </mc:AlternateContent>
  <xr:revisionPtr revIDLastSave="0" documentId="13_ncr:1_{FFDDC55F-40DF-4A6D-B4B9-D8850AA18227}" xr6:coauthVersionLast="47" xr6:coauthVersionMax="47" xr10:uidLastSave="{00000000-0000-0000-0000-000000000000}"/>
  <bookViews>
    <workbookView xWindow="-25320" yWindow="-120" windowWidth="25440" windowHeight="15390" tabRatio="603" activeTab="3" xr2:uid="{00000000-000D-0000-FFFF-FFFF00000000}"/>
  </bookViews>
  <sheets>
    <sheet name="PROGRAM IZVAJANJA" sheetId="1" r:id="rId1"/>
    <sheet name="Navodila" sheetId="18" r:id="rId2"/>
    <sheet name="Osnovni podatki" sheetId="2" r:id="rId3"/>
    <sheet name="Referenčne količine" sheetId="5" r:id="rId4"/>
    <sheet name="prilagoditve" sheetId="76" r:id="rId5"/>
    <sheet name="Standard udobja" sheetId="72" r:id="rId6"/>
    <sheet name="UKREPI - splošno" sheetId="73" r:id="rId7"/>
    <sheet name="UKREPI (PO OBJEKTIH)" sheetId="75" r:id="rId8"/>
    <sheet name="OB001" sheetId="44" r:id="rId9"/>
    <sheet name="OB002" sheetId="65" r:id="rId10"/>
    <sheet name="OB003" sheetId="66" r:id="rId11"/>
    <sheet name="OB004" sheetId="67" r:id="rId12"/>
    <sheet name="OB006" sheetId="56" state="hidden" r:id="rId13"/>
    <sheet name="OB007" sheetId="57" state="hidden" r:id="rId14"/>
    <sheet name="Skupni zajamčeni prihranki" sheetId="7" r:id="rId15"/>
    <sheet name="Neodvisne spremenljivke" sheetId="11" r:id="rId16"/>
    <sheet name="ObračunOB001" sheetId="42" r:id="rId17"/>
    <sheet name="ObračunOB002" sheetId="69" r:id="rId18"/>
    <sheet name="ObračunOB003" sheetId="70" r:id="rId19"/>
    <sheet name="ObračunOB004" sheetId="71" r:id="rId20"/>
    <sheet name="Presežni prihranki" sheetId="10" r:id="rId21"/>
    <sheet name="Presežni prihranki delitev" sheetId="64"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s>
  <definedNames>
    <definedName name="___________________________A120312" localSheetId="21">#REF!</definedName>
    <definedName name="___________________________A120312">#REF!</definedName>
    <definedName name="__________________________A120312" localSheetId="21">#REF!</definedName>
    <definedName name="__________________________A120312">#REF!</definedName>
    <definedName name="_________________________A120312" localSheetId="21">#REF!</definedName>
    <definedName name="_________________________A120312">#REF!</definedName>
    <definedName name="________________________A120312" localSheetId="21">#REF!</definedName>
    <definedName name="________________________A120312">#REF!</definedName>
    <definedName name="________________________dod2" localSheetId="21">[1]Pipe!#REF!</definedName>
    <definedName name="________________________dod2">[2]Pipe!#REF!</definedName>
    <definedName name="_______________________A120312" localSheetId="21">#REF!</definedName>
    <definedName name="_______________________A120312">#REF!</definedName>
    <definedName name="_______________________dod2" localSheetId="21">[1]Pipe!#REF!</definedName>
    <definedName name="_______________________dod2">[2]Pipe!#REF!</definedName>
    <definedName name="______________________A120312" localSheetId="21">#REF!</definedName>
    <definedName name="______________________A120312">#REF!</definedName>
    <definedName name="______________________dod2" localSheetId="21">[1]Pipe!#REF!</definedName>
    <definedName name="______________________dod2">[2]Pipe!#REF!</definedName>
    <definedName name="_____________________A120312" localSheetId="21">#REF!</definedName>
    <definedName name="_____________________A120312">#REF!</definedName>
    <definedName name="_____________________dod2" localSheetId="21">[1]Pipe!#REF!</definedName>
    <definedName name="_____________________dod2">[2]Pipe!#REF!</definedName>
    <definedName name="____________________A120312" localSheetId="21">#REF!</definedName>
    <definedName name="____________________A120312">#REF!</definedName>
    <definedName name="____________________dod2">[2]Pipe!#REF!</definedName>
    <definedName name="___________________A120312" localSheetId="21">#REF!</definedName>
    <definedName name="___________________A120312">#REF!</definedName>
    <definedName name="___________________dod2">[3]Pipe!#REF!</definedName>
    <definedName name="__________________A120312" localSheetId="21">#REF!</definedName>
    <definedName name="__________________A120312">#REF!</definedName>
    <definedName name="__________________dod2">[3]Pipe!#REF!</definedName>
    <definedName name="_________________A120312" localSheetId="21">#REF!</definedName>
    <definedName name="_________________A120312">#REF!</definedName>
    <definedName name="_________________dod2">[2]Pipe!#REF!</definedName>
    <definedName name="________________A120312" localSheetId="21">#REF!</definedName>
    <definedName name="________________A120312">#REF!</definedName>
    <definedName name="________________dod2">[3]Pipe!#REF!</definedName>
    <definedName name="_______________A120312" localSheetId="21">#REF!</definedName>
    <definedName name="_______________A120312">#REF!</definedName>
    <definedName name="_______________dod2">[3]Pipe!#REF!</definedName>
    <definedName name="______________A120312" localSheetId="21">#REF!</definedName>
    <definedName name="______________A120312">#REF!</definedName>
    <definedName name="______________dod2">[3]Pipe!#REF!</definedName>
    <definedName name="_____________A120312" localSheetId="21">#REF!</definedName>
    <definedName name="_____________A120312">#REF!</definedName>
    <definedName name="_____________dod2">[3]Pipe!#REF!</definedName>
    <definedName name="____________A120312" localSheetId="21">#REF!</definedName>
    <definedName name="____________A120312">#REF!</definedName>
    <definedName name="____________dod2">[3]Pipe!#REF!</definedName>
    <definedName name="___________A120312" localSheetId="21">#REF!</definedName>
    <definedName name="___________A120312">#REF!</definedName>
    <definedName name="___________dod2">[3]Pipe!#REF!</definedName>
    <definedName name="__________A120312" localSheetId="21">#REF!</definedName>
    <definedName name="__________A120312">#REF!</definedName>
    <definedName name="__________dod2">[3]Pipe!#REF!</definedName>
    <definedName name="_________A120312" localSheetId="21">#REF!</definedName>
    <definedName name="_________A120312">#REF!</definedName>
    <definedName name="_________dod2">[3]Pipe!#REF!</definedName>
    <definedName name="________A120312" localSheetId="21">#REF!</definedName>
    <definedName name="________A120312">#REF!</definedName>
    <definedName name="________dod2">[3]Pipe!#REF!</definedName>
    <definedName name="_______A120312" localSheetId="21">#REF!</definedName>
    <definedName name="_______A120312">#REF!</definedName>
    <definedName name="_______dod2">[3]Pipe!#REF!</definedName>
    <definedName name="______A120312" localSheetId="21">#REF!</definedName>
    <definedName name="______A120312">#REF!</definedName>
    <definedName name="______dod2">[3]Pipe!#REF!</definedName>
    <definedName name="_____A120312" localSheetId="21">#REF!</definedName>
    <definedName name="_____A120312">#REF!</definedName>
    <definedName name="_____dod2">[3]Pipe!#REF!</definedName>
    <definedName name="____A120312" localSheetId="21">#REF!</definedName>
    <definedName name="____A120312">#REF!</definedName>
    <definedName name="____dod2">[4]Pipe!#REF!</definedName>
    <definedName name="___A120312" localSheetId="21">#REF!</definedName>
    <definedName name="___A120312">#REF!</definedName>
    <definedName name="___dod2">[3]Pipe!#REF!</definedName>
    <definedName name="__A120312" localSheetId="21">#REF!</definedName>
    <definedName name="__A120312" localSheetId="4">#REF!</definedName>
    <definedName name="__A120312">#REF!</definedName>
    <definedName name="__dod2" localSheetId="4">[26]Pipe!#REF!</definedName>
    <definedName name="__dod2">[2]Pipe!#REF!</definedName>
    <definedName name="__IntlFixup" hidden="1">TRUE</definedName>
    <definedName name="_A120312" localSheetId="21">#REF!</definedName>
    <definedName name="_A120312" localSheetId="4">#REF!</definedName>
    <definedName name="_A120312">#REF!</definedName>
    <definedName name="_A120313">#REF!</definedName>
    <definedName name="_dod2" localSheetId="4">[26]Pipe!#REF!</definedName>
    <definedName name="_dod2">[3]Pipe!#REF!</definedName>
    <definedName name="_NZ1">#REF!</definedName>
    <definedName name="_NZ2">#REF!</definedName>
    <definedName name="_NZ3">#REF!</definedName>
    <definedName name="_OK1">#REF!</definedName>
    <definedName name="_okn1">#REF!</definedName>
    <definedName name="_okn2">#REF!</definedName>
    <definedName name="_okn3">#REF!</definedName>
    <definedName name="_okn4">#REF!</definedName>
    <definedName name="_okn5">#REF!</definedName>
    <definedName name="_okn6">#REF!</definedName>
    <definedName name="_STR1">#REF!</definedName>
    <definedName name="_TKL1">#REF!</definedName>
    <definedName name="_TLA1">#REF!</definedName>
    <definedName name="_vra1">#REF!</definedName>
    <definedName name="_vra2">#REF!</definedName>
    <definedName name="_vra3">#REF!</definedName>
    <definedName name="_XA14">[27]TABLE!$B$21</definedName>
    <definedName name="_XA16">[27]TABLE!$B$22</definedName>
    <definedName name="_XA18">[27]TABLE!$B$23</definedName>
    <definedName name="_XA25">[27]TABLE!$B$24</definedName>
    <definedName name="_XC10">[27]TABLE!$B$12</definedName>
    <definedName name="_XC12">[27]TABLE!$B$13</definedName>
    <definedName name="_XC15">[27]TABLE!$B$14</definedName>
    <definedName name="_XC16">[27]TABLE!$B$15</definedName>
    <definedName name="_XC18">[27]TABLE!$B$16</definedName>
    <definedName name="_XC22">[27]TABLE!$B$17</definedName>
    <definedName name="_XC28">[27]TABLE!$B$18</definedName>
    <definedName name="_XC35">[27]TABLE!$B$19</definedName>
    <definedName name="_XD10">[27]TABLE!$B$5</definedName>
    <definedName name="_XD100">[27]TABLE!$F$9</definedName>
    <definedName name="_XD1000">[27]TABLE!$F$24</definedName>
    <definedName name="_XD1100">[27]TABLE!$F$25</definedName>
    <definedName name="_XD1200">[27]TABLE!$F$26</definedName>
    <definedName name="_XD125">[27]TABLE!$F$10</definedName>
    <definedName name="_XD15">[27]TABLE!$B$6</definedName>
    <definedName name="_XD150">[27]TABLE!$F$11</definedName>
    <definedName name="_XD175">[27]TABLE!$F$12</definedName>
    <definedName name="_XD20">[27]TABLE!$B$7</definedName>
    <definedName name="_XD200">[27]TABLE!$F$13</definedName>
    <definedName name="_XD25">[27]TABLE!$B$8</definedName>
    <definedName name="_XD250">[27]TABLE!$F$14</definedName>
    <definedName name="_XD300">[27]TABLE!$F$15</definedName>
    <definedName name="_XD32">[27]TABLE!$B$9</definedName>
    <definedName name="_XD350">[27]TABLE!$F$16</definedName>
    <definedName name="_XD40">[27]TABLE!$B$10</definedName>
    <definedName name="_XD400">[27]TABLE!$F$17</definedName>
    <definedName name="_XD41">[27]TABLE!$F$5</definedName>
    <definedName name="_XD450">[27]TABLE!$F$18</definedName>
    <definedName name="_XD50">[27]TABLE!$F$6</definedName>
    <definedName name="_XD500">[27]TABLE!$F$19</definedName>
    <definedName name="_XD600">[27]TABLE!$F$20</definedName>
    <definedName name="_XD65">[27]TABLE!$F$7</definedName>
    <definedName name="_XD700">[27]TABLE!$F$21</definedName>
    <definedName name="_XD80">[27]TABLE!$F$8</definedName>
    <definedName name="_XD800">[27]TABLE!$F$22</definedName>
    <definedName name="_XD900">[27]TABLE!$F$23</definedName>
    <definedName name="_ZV1">#REF!</definedName>
    <definedName name="_ZZ1">#REF!</definedName>
    <definedName name="_ZZ2">#REF!</definedName>
    <definedName name="_ZZ3">#REF!</definedName>
    <definedName name="a" localSheetId="21">#REF!</definedName>
    <definedName name="a">#REF!</definedName>
    <definedName name="aaa" localSheetId="21">#REF!</definedName>
    <definedName name="aaa">#REF!</definedName>
    <definedName name="ABC_list">[28]Pripomočki!$C$20:$E$20</definedName>
    <definedName name="abril" localSheetId="21">'[5]EE-bilanca'!#REF!</definedName>
    <definedName name="abril">'[5]EE-bilanca'!#REF!</definedName>
    <definedName name="ae" localSheetId="21">#REF!</definedName>
    <definedName name="ae">#REF!</definedName>
    <definedName name="agosto" localSheetId="21">'[5]EE-bilanca'!#REF!</definedName>
    <definedName name="agosto">'[5]EE-bilanca'!#REF!</definedName>
    <definedName name="anscount" hidden="1">1</definedName>
    <definedName name="ARMONIA_150W">[6]Cenik!$F$49</definedName>
    <definedName name="as" localSheetId="21">#REF!</definedName>
    <definedName name="as" localSheetId="4">#REF!</definedName>
    <definedName name="as">#REF!</definedName>
    <definedName name="b" localSheetId="21">#REF!</definedName>
    <definedName name="b">#REF!</definedName>
    <definedName name="BezugsMW" localSheetId="21">#REF!</definedName>
    <definedName name="BezugsMW" localSheetId="4">#REF!</definedName>
    <definedName name="BezugsMW">#REF!</definedName>
    <definedName name="cash" localSheetId="21">[7]Zahlungsströme!#REF!</definedName>
    <definedName name="cash" localSheetId="4">[29]Zahlungsströme!#REF!</definedName>
    <definedName name="cash">[8]Zahlungsströme!#REF!</definedName>
    <definedName name="ccash" localSheetId="21">[9]Zahlungsströme!#REF!</definedName>
    <definedName name="ccash">[9]Zahlungsströme!#REF!</definedName>
    <definedName name="cccccccccccccc" localSheetId="21">[3]Pipe!#REF!</definedName>
    <definedName name="cccccccccccccc">[3]Pipe!#REF!</definedName>
    <definedName name="Cena_EE">[10]REKAPITULACIJA!$C$2</definedName>
    <definedName name="CenaEE">[11]IME!$B$2</definedName>
    <definedName name="CenaNoveLuci_list">[30]Pripomočki!$I$258:$I$314</definedName>
    <definedName name="CenaPopustNoveLuci_list">[30]Pripomočki!$J$258:$J$314</definedName>
    <definedName name="CenaStareLuci_list">[30]Pripomočki!$J$109:$J$251</definedName>
    <definedName name="črpalčna_enota" localSheetId="21">#REF!</definedName>
    <definedName name="črpalčna_enota">#REF!</definedName>
    <definedName name="D" localSheetId="21">#REF!</definedName>
    <definedName name="D" localSheetId="4">#REF!</definedName>
    <definedName name="D">#REF!</definedName>
    <definedName name="Dane" localSheetId="21">#REF!</definedName>
    <definedName name="Dane" localSheetId="4">#REF!</definedName>
    <definedName name="Dane">#REF!</definedName>
    <definedName name="dd" localSheetId="21">#REF!</definedName>
    <definedName name="dd">#REF!</definedName>
    <definedName name="ddd" localSheetId="21">#REF!</definedName>
    <definedName name="ddd">#REF!</definedName>
    <definedName name="DelDnevi" localSheetId="21">#REF!</definedName>
    <definedName name="DelDnevi" localSheetId="4">[31]Fluo!$J$1</definedName>
    <definedName name="DelDnevi">#REF!</definedName>
    <definedName name="dfxztrse" localSheetId="21">#REF!</definedName>
    <definedName name="dfxztrse">#REF!</definedName>
    <definedName name="diciembre" localSheetId="21">'[5]EE-bilanca'!#REF!</definedName>
    <definedName name="diciembre">'[5]EE-bilanca'!#REF!</definedName>
    <definedName name="Dni_svetenja_list">[30]Pripomočki!$E$49:$E$63</definedName>
    <definedName name="dodatki" localSheetId="21">[1]Pipe!#REF!</definedName>
    <definedName name="dodatki" localSheetId="4">[26]Pipe!#REF!</definedName>
    <definedName name="dodatki">[2]Pipe!#REF!</definedName>
    <definedName name="Doza" localSheetId="21">#REF!</definedName>
    <definedName name="Doza">#REF!</definedName>
    <definedName name="DPV" localSheetId="21">#REF!</definedName>
    <definedName name="DPV" localSheetId="4">#REF!</definedName>
    <definedName name="DPV">#REF!</definedName>
    <definedName name="DTP_2013">[32]DTP!$C$12</definedName>
    <definedName name="DTP_2014">[32]DTP!$C$13</definedName>
    <definedName name="DTP_2015">[32]DTP!$C$14</definedName>
    <definedName name="DTP_2016">[32]DTP!$C$15</definedName>
    <definedName name="DTP_2017">[32]DTP!$C$16</definedName>
    <definedName name="DTP_2018">[32]DTP!$C$17</definedName>
    <definedName name="elektro" localSheetId="21">[1]Pipe!#REF!</definedName>
    <definedName name="elektro">[1]Pipe!#REF!</definedName>
    <definedName name="Energent">#REF!</definedName>
    <definedName name="Energenti">[32]!Tabela4[#All]</definedName>
    <definedName name="Energenti_ime">[28]Pripomočki!$D$4:$I$4</definedName>
    <definedName name="Energenti_razmerja">[28]Pripomočki!$D$5:$I$5</definedName>
    <definedName name="enero" localSheetId="21">'[5]EE-bilanca'!#REF!</definedName>
    <definedName name="enero">'[5]EE-bilanca'!#REF!</definedName>
    <definedName name="EPNStareLuci_list">[30]Pripomočki!$I$109:$I$251</definedName>
    <definedName name="Erhebungsdaten_Bruck_Höfleiner_Str_Tabelle1_Liste" localSheetId="21">#REF!</definedName>
    <definedName name="Erhebungsdaten_Bruck_Höfleiner_Str_Tabelle1_Liste">#REF!</definedName>
    <definedName name="factipo" localSheetId="21">'[5]EE-bilanca'!#REF!</definedName>
    <definedName name="factipo">'[5]EE-bilanca'!#REF!</definedName>
    <definedName name="febrero" localSheetId="21">'[5]EE-bilanca'!#REF!</definedName>
    <definedName name="febrero">'[5]EE-bilanca'!#REF!</definedName>
    <definedName name="fffff" localSheetId="21">#REF!</definedName>
    <definedName name="fffff">#REF!</definedName>
    <definedName name="fffffffffff" localSheetId="21">[12]Zahlungsströme!#REF!</definedName>
    <definedName name="fffffffffff">[13]Zahlungsströme!#REF!</definedName>
    <definedName name="filters" localSheetId="21">#REF!</definedName>
    <definedName name="filters" localSheetId="4">#REF!</definedName>
    <definedName name="filters">#REF!</definedName>
    <definedName name="Filtr" localSheetId="21">#REF!</definedName>
    <definedName name="Filtr" localSheetId="4">#REF!</definedName>
    <definedName name="Filtr">#REF!</definedName>
    <definedName name="g" localSheetId="8" hidden="1">MATCH(0.01,End_Bal,-1)+1</definedName>
    <definedName name="g" localSheetId="9" hidden="1">MATCH(0.01,End_Bal,-1)+1</definedName>
    <definedName name="g" localSheetId="10" hidden="1">MATCH(0.01,End_Bal,-1)+1</definedName>
    <definedName name="g" localSheetId="11" hidden="1">MATCH(0.01,End_Bal,-1)+1</definedName>
    <definedName name="g" localSheetId="12" hidden="1">MATCH(0.01,End_Bal,-1)+1</definedName>
    <definedName name="g" localSheetId="13" hidden="1">MATCH(0.01,End_Bal,-1)+1</definedName>
    <definedName name="g" localSheetId="21" hidden="1">MATCH(0.01,End_Bal,-1)+1</definedName>
    <definedName name="g" hidden="1">MATCH(0.01,End_Bal,-1)+1</definedName>
    <definedName name="gjzhdtzjdtzjdjfzj" localSheetId="21">#REF!</definedName>
    <definedName name="gjzhdtzjdtzjdjfzj">#REF!</definedName>
    <definedName name="iško" localSheetId="21">#REF!</definedName>
    <definedName name="iško">#REF!</definedName>
    <definedName name="Izgube">[14]PopisGOLEA!$W$1</definedName>
    <definedName name="Izkoristek_optike">[30]Pripomočki!$D$80:$D$84</definedName>
    <definedName name="JEKLO_SD" localSheetId="21">#REF!</definedName>
    <definedName name="JEKLO_SD" localSheetId="4">#REF!</definedName>
    <definedName name="JEKLO_SD">#REF!</definedName>
    <definedName name="julio">'[5]EE-bilanca'!#REF!</definedName>
    <definedName name="junio">'[5]EE-bilanca'!#REF!</definedName>
    <definedName name="KA_bkz">[15]ekon_povzetek!$D$34</definedName>
    <definedName name="KA_ek">[15]ekon_povzetek!$D$35</definedName>
    <definedName name="KA_fertigstell">[15]ekon_povzetek!$D$43</definedName>
    <definedName name="KA_förder_quote">[15]ekon_povzetek!$D$44</definedName>
    <definedName name="KA_invstk_asche">[15]ekon_povzetek!$E$52</definedName>
    <definedName name="KA_invstk_aufschl">[15]ekon_povzetek!$E$71</definedName>
    <definedName name="KA_invstk_aussenanl">[15]ekon_povzetek!$E$70</definedName>
    <definedName name="KA_invstk_beschick">[15]ekon_povzetek!$E$54</definedName>
    <definedName name="KA_invstk_einst">[15]ekon_povzetek!$E$56</definedName>
    <definedName name="KA_invstk_fahrz">[15]ekon_povzetek!$E$60</definedName>
    <definedName name="KA_invstk_grabung">[15]ekon_povzetek!$E$64</definedName>
    <definedName name="KA_invstk_heizh">[15]ekon_povzetek!$E$68</definedName>
    <definedName name="KA_invstk_hinst">[15]ekon_povzetek!$E$57</definedName>
    <definedName name="KA_invstk_hue">[15]ekon_povzetek!$E$65</definedName>
    <definedName name="KA_invstk_kessel">[15]ekon_povzetek!$E$50</definedName>
    <definedName name="KA_invstk_kran">[15]ekon_povzetek!$E$55</definedName>
    <definedName name="KA_invstk_lager">[15]ekon_povzetek!$E$69</definedName>
    <definedName name="KA_invstk_planung">[15]ekon_povzetek!$E$74</definedName>
    <definedName name="KA_invstk_rgrein">[15]ekon_povzetek!$E$51</definedName>
    <definedName name="KA_invstk_rohre">[15]ekon_povzetek!$E$63</definedName>
    <definedName name="KA_invstk_sonst">[15]ekon_povzetek!$E$73</definedName>
    <definedName name="KA_invstk_spitzenl">[15]ekon_povzetek!$E$59</definedName>
    <definedName name="KA_invstk_stahlb">[15]ekon_povzetek!$E$58</definedName>
    <definedName name="KA_invstk_wrg">[15]ekon_povzetek!$E$53</definedName>
    <definedName name="KA_kosten_miete">[15]ekon_povzetek!$D$37</definedName>
    <definedName name="KA_kosten_person">[15]ekon_povzetek!$D$29</definedName>
    <definedName name="KA_kosten_sonst">[15]ekon_povzetek!$D$32</definedName>
    <definedName name="KA_kosten_strom">[15]ekon_povzetek!$D$31</definedName>
    <definedName name="KA_Kredit_barwert">[15]ekon_povzetek!$D$39</definedName>
    <definedName name="KA_Kredit_laufzt">[15]ekon_povzetek!$D$42</definedName>
    <definedName name="KA_Kredit_zinsen">[15]ekon_povzetek!$D$40</definedName>
    <definedName name="KA_netzab_1">[15]ekon_povzetek!$D$18</definedName>
    <definedName name="KA_netzab_2">[15]ekon_povzetek!$D$19</definedName>
    <definedName name="KA_netzab_3">[15]ekon_povzetek!$D$20</definedName>
    <definedName name="KA_Preis_bm">[15]ekon_povzetek!$D$27</definedName>
    <definedName name="KA_Preis_öl">[15]ekon_povzetek!$D$28</definedName>
    <definedName name="KA_Preis_spitzenlast">[15]ekon_povzetek!$D$36</definedName>
    <definedName name="KA_Preis_wärme">[15]ekon_povzetek!$D$33</definedName>
    <definedName name="KA_verbrauch_strom">[15]ekon_povzetek!$D$30</definedName>
    <definedName name="KA_wag_1">[15]ekon_povzetek!$D$11</definedName>
    <definedName name="KA_wag_2">[15]ekon_povzetek!$D$12</definedName>
    <definedName name="KA_wag_3">[15]ekon_povzetek!$D$13</definedName>
    <definedName name="KA_Wärme_brnst">[15]ekon_povzetek!$D$16</definedName>
    <definedName name="KA_Wärme_prod">[15]ekon_povzetek!$D$15</definedName>
    <definedName name="KA_Wärme_verk">[15]ekon_povzetek!$D$14</definedName>
    <definedName name="kand_etm_delo">[6]Cenik!$F$108</definedName>
    <definedName name="kand_etm_nadzor">[6]Cenik!$F$109</definedName>
    <definedName name="KAOS_1_100W">[6]Cenik!$F$29</definedName>
    <definedName name="KAOS_1_70W">[6]Cenik!$F$26</definedName>
    <definedName name="KAOS_2_150W">[6]Cenik!$F$40</definedName>
    <definedName name="Kaos1" localSheetId="21">#REF!</definedName>
    <definedName name="Kaos1">#REF!</definedName>
    <definedName name="Kizg" localSheetId="4">[33]IMENA!$B$1</definedName>
    <definedName name="Kizg">[16]Popis!$H$1</definedName>
    <definedName name="Kizg2">[17]HOCE_SVETILKE_point!$AM$1</definedName>
    <definedName name="KOKO" localSheetId="21">#REF!</definedName>
    <definedName name="KOKO" localSheetId="4">#REF!</definedName>
    <definedName name="KOKO">#REF!</definedName>
    <definedName name="KonfigTP08">'[34]Elektro del'!$D$49</definedName>
    <definedName name="Konstrukcija">#REF!</definedName>
    <definedName name="Konz_Pod_Svetilka">'[16]Ponudba (2)'!$H$38</definedName>
    <definedName name="konzola_etm_delo">[6]Cenik!$F$97</definedName>
    <definedName name="konzola_etm_nadzor">[6]Cenik!$F$98</definedName>
    <definedName name="konzola1" localSheetId="21">#REF!</definedName>
    <definedName name="konzola1">#REF!</definedName>
    <definedName name="konzola2" localSheetId="21">#REF!</definedName>
    <definedName name="konzola2">#REF!</definedName>
    <definedName name="KPNStareLuci_list">[30]Pripomočki!$H$109:$H$251</definedName>
    <definedName name="LetoRazpisa">[18]Konstante!$C$6</definedName>
    <definedName name="LinijskiR" localSheetId="21">#REF!</definedName>
    <definedName name="LinijskiR">#REF!</definedName>
    <definedName name="LS_CC" localSheetId="21">#REF!</definedName>
    <definedName name="LS_CC" localSheetId="4">#REF!</definedName>
    <definedName name="LS_CC">#REF!</definedName>
    <definedName name="LU_GPRS">'[6]Cenik Luminext'!$C$15</definedName>
    <definedName name="LU_OLC">'[6]Cenik Luminext'!$C$10</definedName>
    <definedName name="LU_SC1">'[6]Cenik Luminext'!$C$4</definedName>
    <definedName name="LU_SELC_100">'[6]Cenik Luminext'!$C$27</definedName>
    <definedName name="LU_SELC_150">'[6]Cenik Luminext'!$C$28</definedName>
    <definedName name="LU_SELC_50">'[6]Cenik Luminext'!$C$29</definedName>
    <definedName name="LU_SELC_70">'[6]Cenik Luminext'!$C$30</definedName>
    <definedName name="LumNext_1" localSheetId="21">#REF!</definedName>
    <definedName name="LumNext_1">#REF!</definedName>
    <definedName name="m" localSheetId="21">#REF!</definedName>
    <definedName name="m" localSheetId="4">#REF!</definedName>
    <definedName name="m">#REF!</definedName>
    <definedName name="mACIEK" localSheetId="21">#REF!</definedName>
    <definedName name="mACIEK" localSheetId="4">#REF!</definedName>
    <definedName name="mACIEK">#REF!</definedName>
    <definedName name="marzo" localSheetId="21">'[5]EE-bilanca'!#REF!</definedName>
    <definedName name="marzo">'[5]EE-bilanca'!#REF!</definedName>
    <definedName name="MatchIdx" localSheetId="21">#REF!</definedName>
    <definedName name="MatchIdx" localSheetId="4">#REF!</definedName>
    <definedName name="MatchIdx">#REF!</definedName>
    <definedName name="MatchIdxP" localSheetId="21">#REF!</definedName>
    <definedName name="MatchIdxP">#REF!</definedName>
    <definedName name="MatchInx" localSheetId="21">#REF!</definedName>
    <definedName name="MatchInx">#REF!</definedName>
    <definedName name="mayo" localSheetId="21">'[5]EE-bilanca'!#REF!</definedName>
    <definedName name="mayo">'[5]EE-bilanca'!#REF!</definedName>
    <definedName name="MocNoveLuci_list">[30]Pripomočki!$F$258:$F$314</definedName>
    <definedName name="Nadstropje_list">[30]Pripomočki!$C$68:$C$75</definedName>
    <definedName name="Naloga" localSheetId="21">#REF!</definedName>
    <definedName name="Naloga">#REF!</definedName>
    <definedName name="Namembnost_list">[30]Pripomočki!$C$49:$C$63</definedName>
    <definedName name="Naziv_projekta">#REF!</definedName>
    <definedName name="NazivNoveLuci_list">[30]Pripomočki!$C$258:$C$314</definedName>
    <definedName name="NazivNoveZamenjaveLuciProstor_list">'[30]Zamenjava svetilk'!$O$5:$O$113</definedName>
    <definedName name="NazivStareLuci_list">[30]Pripomočki!$C$109:$C$251</definedName>
    <definedName name="NazivStareLuciProstor_list">'[30]Zamenjava svetilk'!$Q$5:$Q$113</definedName>
    <definedName name="noviembre" localSheetId="21">'[5]EE-bilanca'!#REF!</definedName>
    <definedName name="noviembre">'[5]EE-bilanca'!#REF!</definedName>
    <definedName name="NS_ID">[19]Popis!$N$6:$N$63</definedName>
    <definedName name="NS_StevSvetilk">[19]Popis!$M$6:$M$63</definedName>
    <definedName name="NS_TipSijalke">[19]Popis!$P$6:$P$63</definedName>
    <definedName name="NS_TipSvetilke">[19]Popis!$O$6:$O$63</definedName>
    <definedName name="Number_of_Payments" localSheetId="8" hidden="1">MATCH(0.01,End_Bal,-1)+1</definedName>
    <definedName name="Number_of_Payments" localSheetId="9" hidden="1">MATCH(0.01,End_Bal,-1)+1</definedName>
    <definedName name="Number_of_Payments" localSheetId="10" hidden="1">MATCH(0.01,End_Bal,-1)+1</definedName>
    <definedName name="Number_of_Payments" localSheetId="11" hidden="1">MATCH(0.01,End_Bal,-1)+1</definedName>
    <definedName name="Number_of_Payments" localSheetId="12" hidden="1">MATCH(0.01,End_Bal,-1)+1</definedName>
    <definedName name="Number_of_Payments" localSheetId="13" hidden="1">MATCH(0.01,End_Bal,-1)+1</definedName>
    <definedName name="Number_of_Payments" localSheetId="16" hidden="1">MATCH(0.01,End_Bal,-1)+1</definedName>
    <definedName name="Number_of_Payments" localSheetId="17" hidden="1">MATCH(0.01,End_Bal,-1)+1</definedName>
    <definedName name="Number_of_Payments" localSheetId="18" hidden="1">MATCH(0.01,End_Bal,-1)+1</definedName>
    <definedName name="Number_of_Payments" localSheetId="19" hidden="1">MATCH(0.01,End_Bal,-1)+1</definedName>
    <definedName name="Number_of_Payments" localSheetId="21" hidden="1">MATCH(0.01,End_Bal,-1)+1</definedName>
    <definedName name="Number_of_Payments" localSheetId="5" hidden="1">MATCH(0.01,End_Bal,-1)+1</definedName>
    <definedName name="Number_of_Payments" hidden="1">MATCH(0.01,End_Bal,-1)+1</definedName>
    <definedName name="NZ">#REF!</definedName>
    <definedName name="objekti">[20]ENERGENTI!$A$9:$AE$121</definedName>
    <definedName name="Obszar_wyd" localSheetId="21">#REF!</definedName>
    <definedName name="Obszar_wyd" localSheetId="4">#REF!</definedName>
    <definedName name="Obszar_wyd">#REF!</definedName>
    <definedName name="octubre">'[5]EE-bilanca'!#REF!</definedName>
    <definedName name="ogrevanje">#REF!</definedName>
    <definedName name="Ogrevanje1">[35]REK!#REF!</definedName>
    <definedName name="OK">#REF!</definedName>
    <definedName name="OPERA_CENTER">'[6]Cenik Reverberi'!$E$32</definedName>
    <definedName name="OPERA_COM">'[6]Cenik Reverberi'!$E$39</definedName>
    <definedName name="Optika_list">[30]Pripomočki!$C$80:$C$84</definedName>
    <definedName name="Partnerji">#REF!</definedName>
    <definedName name="PETALO_35W">[6]Cenik!$F$9</definedName>
    <definedName name="PETALO_70W">[6]Cenik!$F$12</definedName>
    <definedName name="PletFi10" localSheetId="21">#REF!</definedName>
    <definedName name="PletFi10">#REF!</definedName>
    <definedName name="_xlnm.Print_Area" localSheetId="21">#REF!</definedName>
    <definedName name="_xlnm.Print_Area" localSheetId="4">#REF!</definedName>
    <definedName name="_xlnm.Print_Area">#REF!</definedName>
    <definedName name="_xlnm.Criteria" localSheetId="21">#REF!</definedName>
    <definedName name="_xlnm.Criteria" localSheetId="4">#REF!</definedName>
    <definedName name="_xlnm.Criteria">#REF!</definedName>
    <definedName name="PolicaPK200" localSheetId="21">#REF!</definedName>
    <definedName name="PolicaPK200">#REF!</definedName>
    <definedName name="Popis_NS_ID">[14]!Tabela_Popis[ID2]</definedName>
    <definedName name="Popis_StSijalk">[14]!Tabela_Popis[NSvet2]</definedName>
    <definedName name="Popis_StSvet">[14]!Tabela_Popis[NSvet2]</definedName>
    <definedName name="Popis_TipSijalke">[14]!Tabela_Popis[TipZar2]</definedName>
    <definedName name="Popois_NS_ID">[21]Popis!$Y$5:$Y$760</definedName>
    <definedName name="Postaje_list">[36]Pripomočki!$B$3:$B$6</definedName>
    <definedName name="PPPPP" localSheetId="21">#REF!</definedName>
    <definedName name="PPPPP">#REF!</definedName>
    <definedName name="PreferiranaPredstikalna_list">[30]Pripomočki!$E$89:$E$102</definedName>
    <definedName name="PreferiranIzkoristek_Optike_list">[30]Pripomočki!$F$89:$F$102</definedName>
    <definedName name="PritrdMat" localSheetId="21">#REF!</definedName>
    <definedName name="PritrdMat">#REF!</definedName>
    <definedName name="Razvojni_inženirji">#REF!</definedName>
    <definedName name="rbsd" localSheetId="21">#REF!</definedName>
    <definedName name="rbsd">#REF!</definedName>
    <definedName name="Referenčna_raba">#REF!</definedName>
    <definedName name="Renta" localSheetId="21">#REF!</definedName>
    <definedName name="Renta" localSheetId="4">#REF!</definedName>
    <definedName name="Renta">#REF!</definedName>
    <definedName name="rer" localSheetId="21">#REF!</definedName>
    <definedName name="rer">#REF!</definedName>
    <definedName name="RRRR" localSheetId="21">#REF!</definedName>
    <definedName name="RRRR">#REF!</definedName>
    <definedName name="RVC" localSheetId="21">#REF!</definedName>
    <definedName name="RVC">#REF!</definedName>
    <definedName name="s" localSheetId="21">#REF!</definedName>
    <definedName name="s">#REF!</definedName>
    <definedName name="SELC_100_KPL">'[6]Cenik Luminext'!$C$36</definedName>
    <definedName name="SELC_150_KPL">'[6]Cenik Luminext'!$C$37</definedName>
    <definedName name="SELC_50_KPL">'[6]Cenik Luminext'!$C$34</definedName>
    <definedName name="SELC_70_KPL">'[6]Cenik Luminext'!$C$35</definedName>
    <definedName name="septiembre">'[5]EE-bilanca'!#REF!</definedName>
    <definedName name="sg" localSheetId="21">#REF!</definedName>
    <definedName name="sg">#REF!</definedName>
    <definedName name="SolDnevi" localSheetId="21">#REF!</definedName>
    <definedName name="SolDnevi" localSheetId="4">[31]Fluo!$J$2</definedName>
    <definedName name="SolDnevi">#REF!</definedName>
    <definedName name="Stavbe_list">[30]Pripomočki!$C$39:$C$44</definedName>
    <definedName name="STR">#REF!</definedName>
    <definedName name="SvetilnostNoveLuci_list">[30]Pripomočki!$G$258:$G$314</definedName>
    <definedName name="SvetilnostStareLuci_list">[30]Pripomočki!$F$109:$F$251</definedName>
    <definedName name="SW_LX">'[6]Cenik Luminext'!$C$55</definedName>
    <definedName name="t" localSheetId="21">#REF!</definedName>
    <definedName name="t" localSheetId="4">#REF!</definedName>
    <definedName name="t">#REF!</definedName>
    <definedName name="TargetVal" localSheetId="21">#REF!</definedName>
    <definedName name="TargetVal" localSheetId="4">#REF!</definedName>
    <definedName name="TargetVal">#REF!</definedName>
    <definedName name="TargetVal_P" localSheetId="21">#REF!</definedName>
    <definedName name="TargetVal_P" localSheetId="4">#REF!</definedName>
    <definedName name="TargetVal_P">#REF!</definedName>
    <definedName name="TargetValP" localSheetId="21">#REF!</definedName>
    <definedName name="TargetValP">#REF!</definedName>
    <definedName name="te" localSheetId="21">#REF!</definedName>
    <definedName name="te">#REF!</definedName>
    <definedName name="test" localSheetId="21">#REF!</definedName>
    <definedName name="test">#REF!</definedName>
    <definedName name="TGA">#REF!</definedName>
    <definedName name="THO">#REF!</definedName>
    <definedName name="TipSvetila_list">[30]Pripomočki!$C$89:$C$102</definedName>
    <definedName name="Tjr">[17]HOCE_SVETILKE_point!$X$1</definedName>
    <definedName name="TKL">#REF!</definedName>
    <definedName name="TKO">#REF!</definedName>
    <definedName name="TLA">#REF!</definedName>
    <definedName name="TP08_crpalke">'[34]Elektro del'!$H$168</definedName>
    <definedName name="TP08_IO">'[34]Elektro del'!$J$167</definedName>
    <definedName name="TST">#REF!</definedName>
    <definedName name="TVE">#REF!</definedName>
    <definedName name="typ" localSheetId="4">[37]Oznaczenia!$A$2:$A$19</definedName>
    <definedName name="typ">[22]Oznaczenia!$A$2:$A$19</definedName>
    <definedName name="TZ">#REF!</definedName>
    <definedName name="tzjhnsdttejnnjwtnwt" localSheetId="21">#REF!</definedName>
    <definedName name="tzjhnsdttejnnjwtnwt">#REF!</definedName>
    <definedName name="Ukrepi_2">'[38]1.0 Energenti'!#REF!</definedName>
    <definedName name="Ukrepi_3">'[28]1.0 Energenti'!$BR$4:$BR$10</definedName>
    <definedName name="ulica">[3]Pipe!#REF!</definedName>
    <definedName name="Uprofil" localSheetId="21">#REF!</definedName>
    <definedName name="Uprofil">#REF!</definedName>
    <definedName name="Ur_svetenja_list">[30]Pripomočki!$D$49:$D$63</definedName>
    <definedName name="ure">[23]OM_HOCE!$Y$1</definedName>
    <definedName name="Ure_leto" localSheetId="4">[33]IMENA!$B$2</definedName>
    <definedName name="Ure_leto">[10]REKAPITULACIJA!$C$40</definedName>
    <definedName name="UreLetno">[24]Popis!$L$1</definedName>
    <definedName name="UreLeto">[14]PopisGOLEA!$X$1</definedName>
    <definedName name="UVals" localSheetId="21">#REF!</definedName>
    <definedName name="UVals" localSheetId="4">#REF!</definedName>
    <definedName name="UVals">#REF!</definedName>
    <definedName name="valves" localSheetId="21">#REF!</definedName>
    <definedName name="valves" localSheetId="4">#REF!</definedName>
    <definedName name="valves">#REF!</definedName>
    <definedName name="Vgradnja_list">[30]Pripomočki!$C$27:$C$34</definedName>
    <definedName name="Vodja_razvoja_projekta">#REF!</definedName>
    <definedName name="Vticnica" localSheetId="21">#REF!</definedName>
    <definedName name="Vticnica">#REF!</definedName>
    <definedName name="water_heat_meters" localSheetId="21">#REF!</definedName>
    <definedName name="water_heat_meters" localSheetId="4">#REF!</definedName>
    <definedName name="water_heat_meters">#REF!</definedName>
    <definedName name="X" localSheetId="21">#REF!</definedName>
    <definedName name="X">#REF!</definedName>
    <definedName name="XDO_?XDOFIELD46?">[39]Data!$C$14</definedName>
    <definedName name="XDO_?XDOFIELD47?">[39]Data!$C$15</definedName>
    <definedName name="XDO_?XDOFIELD48?">[39]Data!$C$16</definedName>
    <definedName name="XDO_?XDOFIELD49?">[39]Data!$C$17</definedName>
    <definedName name="XDO_?XDOFIELD50?">[39]Data!$C$19</definedName>
    <definedName name="XDO_?XDOFIELD51?">[39]Data!$C$20</definedName>
    <definedName name="XVals" localSheetId="21">#REF!</definedName>
    <definedName name="XVals" localSheetId="4">#REF!</definedName>
    <definedName name="XVals">#REF!</definedName>
    <definedName name="y" localSheetId="21">#REF!</definedName>
    <definedName name="y">#REF!</definedName>
    <definedName name="Year_list">[36]Pripomočki!$F$3:$F$12</definedName>
    <definedName name="YVals" localSheetId="21">#REF!</definedName>
    <definedName name="YVals" localSheetId="4">#REF!</definedName>
    <definedName name="YVals">#REF!</definedName>
    <definedName name="ZamenjavaŠtevilo_list">'[30]Zamenjava svetilk'!$P$5:$P$111</definedName>
    <definedName name="_xlnm.Database" localSheetId="21">#REF!</definedName>
    <definedName name="_xlnm.Database">#REF!</definedName>
    <definedName name="ZEROAURA_100W">[6]Cenik!$F$6</definedName>
    <definedName name="ZEROAURA_70W">[6]Cenik!$F$3</definedName>
    <definedName name="ZivDobaSvetila_list">[30]Pripomočki!$D$89:$D$102</definedName>
    <definedName name="ZivljenskaNoveLuci_list">[30]Pripomočki!$H$258:$H$314</definedName>
    <definedName name="ZV">#REF!</definedName>
    <definedName name="ZVals" localSheetId="21">#REF!</definedName>
    <definedName name="ZVals" localSheetId="4">#REF!</definedName>
    <definedName name="ZVals">#REF!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19" i="5" l="1"/>
  <c r="F19" i="5"/>
  <c r="G26" i="5"/>
  <c r="F26" i="5"/>
  <c r="G39" i="5"/>
  <c r="F39" i="5"/>
  <c r="E39" i="5"/>
  <c r="D39" i="5"/>
  <c r="K5" i="76"/>
  <c r="K4" i="76"/>
  <c r="E11" i="76"/>
  <c r="H11" i="76"/>
  <c r="E12" i="76"/>
  <c r="H12" i="76"/>
  <c r="E13" i="76"/>
  <c r="H13" i="76"/>
  <c r="E14" i="76"/>
  <c r="H14" i="76"/>
  <c r="I12" i="76" l="1"/>
  <c r="I11" i="76"/>
  <c r="I13" i="76"/>
  <c r="I14" i="76"/>
  <c r="D10" i="11"/>
  <c r="G10" i="11"/>
  <c r="F10" i="11"/>
  <c r="E10" i="11"/>
  <c r="R7" i="11"/>
  <c r="D7" i="72"/>
  <c r="D8" i="72" s="1"/>
  <c r="D9" i="72" s="1"/>
  <c r="D10" i="72" s="1"/>
  <c r="D11" i="72" s="1"/>
  <c r="D12" i="72" s="1"/>
  <c r="D13" i="72" s="1"/>
  <c r="D14" i="72" s="1"/>
  <c r="D15" i="72" s="1"/>
  <c r="D16" i="72" s="1"/>
  <c r="D17" i="72" l="1"/>
  <c r="D18" i="72" s="1"/>
  <c r="D19" i="72" s="1"/>
  <c r="U24" i="71" l="1"/>
  <c r="I23" i="71"/>
  <c r="U24" i="70"/>
  <c r="I24" i="70"/>
  <c r="I23" i="70"/>
  <c r="N23" i="71" l="1"/>
  <c r="N24" i="71" s="1"/>
  <c r="I24" i="71"/>
  <c r="N24" i="70"/>
  <c r="N23" i="70"/>
  <c r="U23" i="42" l="1"/>
  <c r="D74" i="71"/>
  <c r="K124" i="71"/>
  <c r="D124" i="71"/>
  <c r="D113" i="71"/>
  <c r="J111" i="71"/>
  <c r="G111" i="71"/>
  <c r="D111" i="71"/>
  <c r="M95" i="71"/>
  <c r="O95" i="71" s="1"/>
  <c r="K95" i="71"/>
  <c r="K96" i="71" s="1"/>
  <c r="C82" i="71"/>
  <c r="B82" i="71"/>
  <c r="B81" i="71"/>
  <c r="C80" i="71"/>
  <c r="B80" i="71"/>
  <c r="N72" i="71"/>
  <c r="G72" i="71"/>
  <c r="C74" i="71"/>
  <c r="G71" i="71"/>
  <c r="E71" i="71"/>
  <c r="B65" i="71"/>
  <c r="C63" i="71"/>
  <c r="D62" i="71"/>
  <c r="C62" i="71"/>
  <c r="C81" i="71" s="1"/>
  <c r="D61" i="71"/>
  <c r="C61" i="71"/>
  <c r="B56" i="71"/>
  <c r="C54" i="71"/>
  <c r="D53" i="71"/>
  <c r="D54" i="71" s="1"/>
  <c r="D63" i="71" s="1"/>
  <c r="C53" i="71"/>
  <c r="C52" i="71"/>
  <c r="L71" i="71"/>
  <c r="L15" i="71"/>
  <c r="C6" i="71"/>
  <c r="C74" i="70"/>
  <c r="K124" i="70"/>
  <c r="D124" i="70"/>
  <c r="D113" i="70"/>
  <c r="P113" i="70" s="1"/>
  <c r="R113" i="70" s="1"/>
  <c r="J111" i="70"/>
  <c r="G111" i="70"/>
  <c r="D111" i="70"/>
  <c r="M95" i="70"/>
  <c r="O95" i="70" s="1"/>
  <c r="K95" i="70"/>
  <c r="K96" i="70" s="1"/>
  <c r="B82" i="70"/>
  <c r="B81" i="70"/>
  <c r="B80" i="70"/>
  <c r="N72" i="70"/>
  <c r="G72" i="70"/>
  <c r="G71" i="70"/>
  <c r="E71" i="70"/>
  <c r="B65" i="70"/>
  <c r="D63" i="70"/>
  <c r="C63" i="70"/>
  <c r="C82" i="70" s="1"/>
  <c r="D62" i="70"/>
  <c r="C62" i="70"/>
  <c r="C81" i="70" s="1"/>
  <c r="D61" i="70"/>
  <c r="C61" i="70"/>
  <c r="C80" i="70" s="1"/>
  <c r="B56" i="70"/>
  <c r="D54" i="70"/>
  <c r="C54" i="70"/>
  <c r="D53" i="70"/>
  <c r="C53" i="70"/>
  <c r="C52" i="70"/>
  <c r="L71" i="70"/>
  <c r="K71" i="70"/>
  <c r="N71" i="70" s="1"/>
  <c r="L15" i="70"/>
  <c r="C6" i="70"/>
  <c r="D74" i="69"/>
  <c r="K124" i="69"/>
  <c r="D124" i="69"/>
  <c r="D113" i="69"/>
  <c r="P113" i="69" s="1"/>
  <c r="R113" i="69" s="1"/>
  <c r="J111" i="69"/>
  <c r="G111" i="69"/>
  <c r="D111" i="69"/>
  <c r="M95" i="69"/>
  <c r="O95" i="69" s="1"/>
  <c r="K95" i="69"/>
  <c r="K96" i="69" s="1"/>
  <c r="B82" i="69"/>
  <c r="B81" i="69"/>
  <c r="B80" i="69"/>
  <c r="C74" i="69"/>
  <c r="N72" i="69"/>
  <c r="G72" i="69"/>
  <c r="G71" i="69"/>
  <c r="E71" i="69"/>
  <c r="B65" i="69"/>
  <c r="C63" i="69"/>
  <c r="C82" i="69" s="1"/>
  <c r="D62" i="69"/>
  <c r="C62" i="69"/>
  <c r="C81" i="69" s="1"/>
  <c r="D61" i="69"/>
  <c r="C61" i="69"/>
  <c r="C80" i="69" s="1"/>
  <c r="B56" i="69"/>
  <c r="C54" i="69"/>
  <c r="D53" i="69"/>
  <c r="D54" i="69" s="1"/>
  <c r="D63" i="69" s="1"/>
  <c r="C53" i="69"/>
  <c r="C52" i="69"/>
  <c r="U24" i="69"/>
  <c r="L71" i="69" s="1"/>
  <c r="I23" i="69"/>
  <c r="L15" i="69"/>
  <c r="C6" i="69"/>
  <c r="D120" i="67"/>
  <c r="D107" i="67"/>
  <c r="C80" i="67"/>
  <c r="C79" i="67"/>
  <c r="C77" i="67"/>
  <c r="C76" i="67"/>
  <c r="C67" i="67"/>
  <c r="C66" i="67"/>
  <c r="C63" i="67"/>
  <c r="C62" i="67"/>
  <c r="E58" i="67"/>
  <c r="E67" i="67" s="1"/>
  <c r="D11" i="67"/>
  <c r="C56" i="67" s="1"/>
  <c r="D120" i="66"/>
  <c r="D107" i="66"/>
  <c r="C80" i="66"/>
  <c r="C79" i="66"/>
  <c r="C77" i="66"/>
  <c r="C76" i="66"/>
  <c r="C67" i="66"/>
  <c r="C66" i="66"/>
  <c r="C63" i="66"/>
  <c r="C62" i="66"/>
  <c r="E58" i="66"/>
  <c r="E67" i="66" s="1"/>
  <c r="D11" i="66"/>
  <c r="C56" i="66" s="1"/>
  <c r="Q123" i="69" a="1"/>
  <c r="Q123" i="70" a="1"/>
  <c r="Q123" i="71" a="1"/>
  <c r="Q123" i="71" l="1"/>
  <c r="Q124" i="71" s="1"/>
  <c r="P113" i="71"/>
  <c r="R113" i="71" s="1"/>
  <c r="N113" i="71"/>
  <c r="N114" i="71" s="1"/>
  <c r="K71" i="71"/>
  <c r="N71" i="71" s="1"/>
  <c r="E72" i="71"/>
  <c r="C73" i="71" s="1"/>
  <c r="E72" i="70"/>
  <c r="E74" i="70" s="1"/>
  <c r="D73" i="70"/>
  <c r="D74" i="70"/>
  <c r="Q123" i="70"/>
  <c r="Q124" i="70" s="1"/>
  <c r="N113" i="70"/>
  <c r="N114" i="70" s="1"/>
  <c r="C73" i="70"/>
  <c r="O71" i="70"/>
  <c r="E72" i="69"/>
  <c r="C73" i="69" s="1"/>
  <c r="Q123" i="69"/>
  <c r="Q124" i="69" s="1"/>
  <c r="I24" i="69"/>
  <c r="N23" i="69"/>
  <c r="N24" i="69" s="1"/>
  <c r="K71" i="69" s="1"/>
  <c r="N71" i="69" s="1"/>
  <c r="N113" i="69"/>
  <c r="N114" i="69" s="1"/>
  <c r="C65" i="67"/>
  <c r="C61" i="67"/>
  <c r="C65" i="66"/>
  <c r="C61" i="66"/>
  <c r="O72" i="70" l="1"/>
  <c r="E74" i="69"/>
  <c r="O73" i="69"/>
  <c r="O72" i="69"/>
  <c r="O71" i="69"/>
  <c r="O73" i="71"/>
  <c r="O71" i="71"/>
  <c r="E74" i="71"/>
  <c r="O72" i="71"/>
  <c r="D73" i="71"/>
  <c r="E73" i="71" s="1"/>
  <c r="T72" i="70"/>
  <c r="O73" i="70"/>
  <c r="O75" i="70" s="1"/>
  <c r="E73" i="70"/>
  <c r="S71" i="70"/>
  <c r="T71" i="70"/>
  <c r="S72" i="70"/>
  <c r="D73" i="69"/>
  <c r="T71" i="69" s="1"/>
  <c r="S71" i="69"/>
  <c r="O75" i="69"/>
  <c r="S72" i="69"/>
  <c r="S72" i="71" l="1"/>
  <c r="T72" i="71"/>
  <c r="S71" i="71"/>
  <c r="O75" i="71"/>
  <c r="T71" i="71"/>
  <c r="U72" i="70"/>
  <c r="D81" i="70" s="1"/>
  <c r="U71" i="70"/>
  <c r="E73" i="69"/>
  <c r="T72" i="69"/>
  <c r="U72" i="69" s="1"/>
  <c r="D81" i="69" s="1"/>
  <c r="U71" i="69"/>
  <c r="U71" i="71" l="1"/>
  <c r="U72" i="71"/>
  <c r="D81" i="71" s="1"/>
  <c r="D80" i="70"/>
  <c r="D80" i="69"/>
  <c r="D80" i="71" l="1"/>
  <c r="D120" i="65" l="1"/>
  <c r="C80" i="65"/>
  <c r="C79" i="65"/>
  <c r="C77" i="65"/>
  <c r="C76" i="65"/>
  <c r="C67" i="65"/>
  <c r="C66" i="65"/>
  <c r="C63" i="65"/>
  <c r="C62" i="65"/>
  <c r="E58" i="65"/>
  <c r="E67" i="65" s="1"/>
  <c r="D11" i="65"/>
  <c r="C56" i="65" s="1"/>
  <c r="C61" i="65" l="1"/>
  <c r="C65" i="65"/>
  <c r="Y18" i="64" l="1"/>
  <c r="Y19" i="64" s="1"/>
  <c r="Y20" i="64" s="1"/>
  <c r="Y21" i="64" s="1"/>
  <c r="Y22" i="64" s="1"/>
  <c r="Y23" i="64" s="1"/>
  <c r="Y24" i="64" s="1"/>
  <c r="Y25" i="64" s="1"/>
  <c r="Y26" i="64" s="1"/>
  <c r="Y27" i="64" s="1"/>
  <c r="Y28" i="64" s="1"/>
  <c r="Y29" i="64" s="1"/>
  <c r="Y30" i="64" s="1"/>
  <c r="Y31" i="64" s="1"/>
  <c r="Y32" i="64" s="1"/>
  <c r="Y33" i="64" s="1"/>
  <c r="Y34" i="64" s="1"/>
  <c r="Y35" i="64" s="1"/>
  <c r="Y36" i="64" s="1"/>
  <c r="Y37" i="64" s="1"/>
  <c r="Y38" i="64" s="1"/>
  <c r="Y39" i="64" s="1"/>
  <c r="Y40" i="64" s="1"/>
  <c r="Y41" i="64" s="1"/>
  <c r="Y42" i="64" s="1"/>
  <c r="Y43" i="64" s="1"/>
  <c r="Y44" i="64" s="1"/>
  <c r="Y45" i="64" s="1"/>
  <c r="Y46" i="64" s="1"/>
  <c r="Y47" i="64" s="1"/>
  <c r="Y48" i="64" s="1"/>
  <c r="Y49" i="64" s="1"/>
  <c r="Y50" i="64" s="1"/>
  <c r="Y51" i="64" s="1"/>
  <c r="Y52" i="64" s="1"/>
  <c r="Y53" i="64" s="1"/>
  <c r="Y54" i="64" s="1"/>
  <c r="Y55" i="64" s="1"/>
  <c r="Y56" i="64" s="1"/>
  <c r="Y57" i="64" s="1"/>
  <c r="Y58" i="64" s="1"/>
  <c r="Y59" i="64" s="1"/>
  <c r="Y60" i="64" s="1"/>
  <c r="Y61" i="64" s="1"/>
  <c r="Y62" i="64" s="1"/>
  <c r="Y63" i="64" s="1"/>
  <c r="Y64" i="64" s="1"/>
  <c r="Y65" i="64" s="1"/>
  <c r="Y66" i="64" s="1"/>
  <c r="Y67" i="64" s="1"/>
  <c r="Y68" i="64" s="1"/>
  <c r="Y69" i="64" s="1"/>
  <c r="Y70" i="64" s="1"/>
  <c r="Y71" i="64" s="1"/>
  <c r="Y72" i="64" s="1"/>
  <c r="Y73" i="64" s="1"/>
  <c r="Y74" i="64" s="1"/>
  <c r="Y75" i="64" s="1"/>
  <c r="Y76" i="64" s="1"/>
  <c r="Y77" i="64" s="1"/>
  <c r="Y78" i="64" s="1"/>
  <c r="Y79" i="64" s="1"/>
  <c r="Y80" i="64" s="1"/>
  <c r="Y81" i="64" s="1"/>
  <c r="Y82" i="64" s="1"/>
  <c r="Y83" i="64" s="1"/>
  <c r="Y84" i="64" s="1"/>
  <c r="Y85" i="64" s="1"/>
  <c r="Y86" i="64" s="1"/>
  <c r="Y87" i="64" s="1"/>
  <c r="Y88" i="64" s="1"/>
  <c r="Y89" i="64" s="1"/>
  <c r="Y90" i="64" s="1"/>
  <c r="Y91" i="64" s="1"/>
  <c r="Y92" i="64" s="1"/>
  <c r="Y93" i="64" s="1"/>
  <c r="Y94" i="64" s="1"/>
  <c r="Y95" i="64" s="1"/>
  <c r="Y96" i="64" s="1"/>
  <c r="Y97" i="64" s="1"/>
  <c r="Y98" i="64" s="1"/>
  <c r="Y99" i="64" s="1"/>
  <c r="Y100" i="64" s="1"/>
  <c r="Y101" i="64" s="1"/>
  <c r="Y102" i="64" s="1"/>
  <c r="Y103" i="64" s="1"/>
  <c r="Y104" i="64" s="1"/>
  <c r="Y105" i="64" s="1"/>
  <c r="Y106" i="64" s="1"/>
  <c r="Y107" i="64" s="1"/>
  <c r="Y108" i="64" s="1"/>
  <c r="Y109" i="64" s="1"/>
  <c r="Y110" i="64" s="1"/>
  <c r="Y111" i="64" s="1"/>
  <c r="Y112" i="64" s="1"/>
  <c r="Y113" i="64" s="1"/>
  <c r="Y114" i="64" s="1"/>
  <c r="Y115" i="64" s="1"/>
  <c r="Y116" i="64" s="1"/>
  <c r="Y117" i="64" s="1"/>
  <c r="Z17" i="64"/>
  <c r="R18" i="64"/>
  <c r="R19" i="64" s="1"/>
  <c r="R20" i="64" s="1"/>
  <c r="R21" i="64" s="1"/>
  <c r="R22" i="64" s="1"/>
  <c r="R23" i="64" s="1"/>
  <c r="R24" i="64" s="1"/>
  <c r="R25" i="64" s="1"/>
  <c r="R26" i="64" s="1"/>
  <c r="R27" i="64" s="1"/>
  <c r="R28" i="64" s="1"/>
  <c r="R29" i="64" s="1"/>
  <c r="R30" i="64" s="1"/>
  <c r="R31" i="64" s="1"/>
  <c r="R32" i="64" s="1"/>
  <c r="R33" i="64" s="1"/>
  <c r="R34" i="64" s="1"/>
  <c r="R35" i="64" s="1"/>
  <c r="R36" i="64" s="1"/>
  <c r="R37" i="64" s="1"/>
  <c r="R38" i="64" s="1"/>
  <c r="R39" i="64" s="1"/>
  <c r="R40" i="64" s="1"/>
  <c r="R41" i="64" s="1"/>
  <c r="R42" i="64" s="1"/>
  <c r="R43" i="64" s="1"/>
  <c r="R44" i="64" s="1"/>
  <c r="R45" i="64" s="1"/>
  <c r="R46" i="64" s="1"/>
  <c r="R47" i="64" s="1"/>
  <c r="R48" i="64" s="1"/>
  <c r="R49" i="64" s="1"/>
  <c r="R50" i="64" s="1"/>
  <c r="R51" i="64" s="1"/>
  <c r="R52" i="64" s="1"/>
  <c r="R53" i="64" s="1"/>
  <c r="R54" i="64" s="1"/>
  <c r="R55" i="64" s="1"/>
  <c r="R56" i="64" s="1"/>
  <c r="R57" i="64" s="1"/>
  <c r="R58" i="64" s="1"/>
  <c r="R59" i="64" s="1"/>
  <c r="R60" i="64" s="1"/>
  <c r="R61" i="64" s="1"/>
  <c r="R62" i="64" s="1"/>
  <c r="R63" i="64" s="1"/>
  <c r="R64" i="64" s="1"/>
  <c r="R65" i="64" s="1"/>
  <c r="R66" i="64" s="1"/>
  <c r="R67" i="64" s="1"/>
  <c r="R68" i="64" s="1"/>
  <c r="R69" i="64" s="1"/>
  <c r="R70" i="64" s="1"/>
  <c r="R71" i="64" s="1"/>
  <c r="R72" i="64" s="1"/>
  <c r="R73" i="64" s="1"/>
  <c r="R74" i="64" s="1"/>
  <c r="R75" i="64" s="1"/>
  <c r="R76" i="64" s="1"/>
  <c r="R77" i="64" s="1"/>
  <c r="R78" i="64" s="1"/>
  <c r="R79" i="64" s="1"/>
  <c r="R80" i="64" s="1"/>
  <c r="R81" i="64" s="1"/>
  <c r="R82" i="64" s="1"/>
  <c r="R83" i="64" s="1"/>
  <c r="R84" i="64" s="1"/>
  <c r="R85" i="64" s="1"/>
  <c r="R86" i="64" s="1"/>
  <c r="R87" i="64" s="1"/>
  <c r="R88" i="64" s="1"/>
  <c r="R89" i="64" s="1"/>
  <c r="R90" i="64" s="1"/>
  <c r="R91" i="64" s="1"/>
  <c r="R92" i="64" s="1"/>
  <c r="R93" i="64" s="1"/>
  <c r="R94" i="64" s="1"/>
  <c r="R95" i="64" s="1"/>
  <c r="R96" i="64" s="1"/>
  <c r="R97" i="64" s="1"/>
  <c r="R98" i="64" s="1"/>
  <c r="R99" i="64" s="1"/>
  <c r="R100" i="64" s="1"/>
  <c r="R101" i="64" s="1"/>
  <c r="R102" i="64" s="1"/>
  <c r="R103" i="64" s="1"/>
  <c r="R104" i="64" s="1"/>
  <c r="R105" i="64" s="1"/>
  <c r="R106" i="64" s="1"/>
  <c r="R107" i="64" s="1"/>
  <c r="R108" i="64" s="1"/>
  <c r="R109" i="64" s="1"/>
  <c r="R110" i="64" s="1"/>
  <c r="R111" i="64" s="1"/>
  <c r="R112" i="64" s="1"/>
  <c r="R113" i="64" s="1"/>
  <c r="R114" i="64" s="1"/>
  <c r="R115" i="64" s="1"/>
  <c r="R116" i="64" s="1"/>
  <c r="R117" i="64" s="1"/>
  <c r="S17" i="64"/>
  <c r="K18" i="64"/>
  <c r="K19" i="64" s="1"/>
  <c r="K20" i="64" s="1"/>
  <c r="K21" i="64" s="1"/>
  <c r="K22" i="64" s="1"/>
  <c r="K23" i="64" s="1"/>
  <c r="K24" i="64" s="1"/>
  <c r="K25" i="64" s="1"/>
  <c r="K26" i="64" s="1"/>
  <c r="K27" i="64" s="1"/>
  <c r="K28" i="64" s="1"/>
  <c r="K29" i="64" s="1"/>
  <c r="K30" i="64" s="1"/>
  <c r="K31" i="64" s="1"/>
  <c r="K32" i="64" s="1"/>
  <c r="K33" i="64" s="1"/>
  <c r="K34" i="64" s="1"/>
  <c r="K35" i="64" s="1"/>
  <c r="K36" i="64" s="1"/>
  <c r="K37" i="64" s="1"/>
  <c r="K38" i="64" s="1"/>
  <c r="K39" i="64" s="1"/>
  <c r="K40" i="64" s="1"/>
  <c r="K41" i="64" s="1"/>
  <c r="K42" i="64" s="1"/>
  <c r="K43" i="64" s="1"/>
  <c r="K44" i="64" s="1"/>
  <c r="K45" i="64" s="1"/>
  <c r="K46" i="64" s="1"/>
  <c r="K47" i="64" s="1"/>
  <c r="K48" i="64" s="1"/>
  <c r="K49" i="64" s="1"/>
  <c r="K50" i="64" s="1"/>
  <c r="K51" i="64" s="1"/>
  <c r="K52" i="64" s="1"/>
  <c r="K53" i="64" s="1"/>
  <c r="K54" i="64" s="1"/>
  <c r="K55" i="64" s="1"/>
  <c r="K56" i="64" s="1"/>
  <c r="K57" i="64" s="1"/>
  <c r="K58" i="64" s="1"/>
  <c r="K59" i="64" s="1"/>
  <c r="K60" i="64" s="1"/>
  <c r="K61" i="64" s="1"/>
  <c r="K62" i="64" s="1"/>
  <c r="K63" i="64" s="1"/>
  <c r="K64" i="64" s="1"/>
  <c r="K65" i="64" s="1"/>
  <c r="K66" i="64" s="1"/>
  <c r="K67" i="64" s="1"/>
  <c r="K68" i="64" s="1"/>
  <c r="K69" i="64" s="1"/>
  <c r="K70" i="64" s="1"/>
  <c r="K71" i="64" s="1"/>
  <c r="K72" i="64" s="1"/>
  <c r="K73" i="64" s="1"/>
  <c r="K74" i="64" s="1"/>
  <c r="K75" i="64" s="1"/>
  <c r="K76" i="64" s="1"/>
  <c r="K77" i="64" s="1"/>
  <c r="K78" i="64" s="1"/>
  <c r="K79" i="64" s="1"/>
  <c r="K80" i="64" s="1"/>
  <c r="K81" i="64" s="1"/>
  <c r="K82" i="64" s="1"/>
  <c r="K83" i="64" s="1"/>
  <c r="K84" i="64" s="1"/>
  <c r="K85" i="64" s="1"/>
  <c r="K86" i="64" s="1"/>
  <c r="K87" i="64" s="1"/>
  <c r="K88" i="64" s="1"/>
  <c r="K89" i="64" s="1"/>
  <c r="K90" i="64" s="1"/>
  <c r="K91" i="64" s="1"/>
  <c r="K92" i="64" s="1"/>
  <c r="K93" i="64" s="1"/>
  <c r="K94" i="64" s="1"/>
  <c r="K95" i="64" s="1"/>
  <c r="K96" i="64" s="1"/>
  <c r="K97" i="64" s="1"/>
  <c r="K98" i="64" s="1"/>
  <c r="K99" i="64" s="1"/>
  <c r="K100" i="64" s="1"/>
  <c r="K101" i="64" s="1"/>
  <c r="K102" i="64" s="1"/>
  <c r="K103" i="64" s="1"/>
  <c r="K104" i="64" s="1"/>
  <c r="K105" i="64" s="1"/>
  <c r="K106" i="64" s="1"/>
  <c r="K107" i="64" s="1"/>
  <c r="K108" i="64" s="1"/>
  <c r="K109" i="64" s="1"/>
  <c r="K110" i="64" s="1"/>
  <c r="K111" i="64" s="1"/>
  <c r="K112" i="64" s="1"/>
  <c r="K113" i="64" s="1"/>
  <c r="K114" i="64" s="1"/>
  <c r="K115" i="64" s="1"/>
  <c r="K116" i="64" s="1"/>
  <c r="K117" i="64" s="1"/>
  <c r="L17" i="64"/>
  <c r="D18" i="64"/>
  <c r="D19" i="64" s="1"/>
  <c r="D20" i="64" s="1"/>
  <c r="D21" i="64" s="1"/>
  <c r="D22" i="64" s="1"/>
  <c r="D23" i="64" s="1"/>
  <c r="D24" i="64" s="1"/>
  <c r="D25" i="64" s="1"/>
  <c r="D26" i="64" s="1"/>
  <c r="D27" i="64" s="1"/>
  <c r="D28" i="64" s="1"/>
  <c r="D29" i="64" s="1"/>
  <c r="D30" i="64" s="1"/>
  <c r="D31" i="64" s="1"/>
  <c r="D32" i="64" s="1"/>
  <c r="D33" i="64" s="1"/>
  <c r="D34" i="64" s="1"/>
  <c r="D35" i="64" s="1"/>
  <c r="D36" i="64" s="1"/>
  <c r="D37" i="64" s="1"/>
  <c r="D38" i="64" s="1"/>
  <c r="D39" i="64" s="1"/>
  <c r="D40" i="64" s="1"/>
  <c r="D41" i="64" s="1"/>
  <c r="D42" i="64" s="1"/>
  <c r="D43" i="64" s="1"/>
  <c r="D44" i="64" s="1"/>
  <c r="D45" i="64" s="1"/>
  <c r="D46" i="64" s="1"/>
  <c r="D47" i="64" s="1"/>
  <c r="D48" i="64" s="1"/>
  <c r="D49" i="64" s="1"/>
  <c r="D50" i="64" s="1"/>
  <c r="D51" i="64" s="1"/>
  <c r="D52" i="64" s="1"/>
  <c r="D53" i="64" s="1"/>
  <c r="D54" i="64" s="1"/>
  <c r="D55" i="64" s="1"/>
  <c r="D56" i="64" s="1"/>
  <c r="D57" i="64" s="1"/>
  <c r="D58" i="64" s="1"/>
  <c r="D59" i="64" s="1"/>
  <c r="D60" i="64" s="1"/>
  <c r="D61" i="64" s="1"/>
  <c r="D62" i="64" s="1"/>
  <c r="D63" i="64" s="1"/>
  <c r="D64" i="64" s="1"/>
  <c r="D65" i="64" s="1"/>
  <c r="D66" i="64" s="1"/>
  <c r="D67" i="64" s="1"/>
  <c r="D68" i="64" s="1"/>
  <c r="D69" i="64" s="1"/>
  <c r="D70" i="64" s="1"/>
  <c r="D71" i="64" s="1"/>
  <c r="D72" i="64" s="1"/>
  <c r="D73" i="64" s="1"/>
  <c r="D74" i="64" s="1"/>
  <c r="D75" i="64" s="1"/>
  <c r="D76" i="64" s="1"/>
  <c r="D77" i="64" s="1"/>
  <c r="D78" i="64" s="1"/>
  <c r="D79" i="64" s="1"/>
  <c r="D80" i="64" s="1"/>
  <c r="D81" i="64" s="1"/>
  <c r="D82" i="64" s="1"/>
  <c r="D83" i="64" s="1"/>
  <c r="D84" i="64" s="1"/>
  <c r="D85" i="64" s="1"/>
  <c r="D86" i="64" s="1"/>
  <c r="D87" i="64" s="1"/>
  <c r="D88" i="64" s="1"/>
  <c r="D89" i="64" s="1"/>
  <c r="D90" i="64" s="1"/>
  <c r="D91" i="64" s="1"/>
  <c r="D92" i="64" s="1"/>
  <c r="D93" i="64" s="1"/>
  <c r="D94" i="64" s="1"/>
  <c r="D95" i="64" s="1"/>
  <c r="D96" i="64" s="1"/>
  <c r="D97" i="64" s="1"/>
  <c r="D98" i="64" s="1"/>
  <c r="D99" i="64" s="1"/>
  <c r="D100" i="64" s="1"/>
  <c r="D101" i="64" s="1"/>
  <c r="D102" i="64" s="1"/>
  <c r="D103" i="64" s="1"/>
  <c r="D104" i="64" s="1"/>
  <c r="D105" i="64" s="1"/>
  <c r="D106" i="64" s="1"/>
  <c r="D107" i="64" s="1"/>
  <c r="D108" i="64" s="1"/>
  <c r="D109" i="64" s="1"/>
  <c r="D110" i="64" s="1"/>
  <c r="D111" i="64" s="1"/>
  <c r="D112" i="64" s="1"/>
  <c r="D113" i="64" s="1"/>
  <c r="D114" i="64" s="1"/>
  <c r="D115" i="64" s="1"/>
  <c r="D116" i="64" s="1"/>
  <c r="D117" i="64" s="1"/>
  <c r="E17" i="64"/>
  <c r="D120" i="57" l="1"/>
  <c r="D107" i="57"/>
  <c r="C80" i="57"/>
  <c r="C79" i="57"/>
  <c r="C77" i="57"/>
  <c r="C76" i="57"/>
  <c r="C67" i="57"/>
  <c r="C66" i="57"/>
  <c r="C63" i="57"/>
  <c r="C62" i="57"/>
  <c r="E58" i="57"/>
  <c r="E67" i="57" s="1"/>
  <c r="D11" i="57"/>
  <c r="C56" i="57" s="1"/>
  <c r="C61" i="57" s="1"/>
  <c r="D120" i="56"/>
  <c r="D107" i="56"/>
  <c r="C80" i="56"/>
  <c r="C79" i="56"/>
  <c r="C77" i="56"/>
  <c r="C76" i="56"/>
  <c r="C67" i="56"/>
  <c r="C66" i="56"/>
  <c r="C63" i="56"/>
  <c r="C62" i="56"/>
  <c r="E58" i="56"/>
  <c r="E67" i="56" s="1"/>
  <c r="D11" i="56"/>
  <c r="C56" i="56" s="1"/>
  <c r="C74" i="42"/>
  <c r="C6" i="42"/>
  <c r="N72" i="42"/>
  <c r="C65" i="57" l="1"/>
  <c r="C61" i="56"/>
  <c r="C65" i="56"/>
  <c r="E71" i="42" l="1"/>
  <c r="E72" i="42" l="1"/>
  <c r="D73" i="42" s="1"/>
  <c r="D74" i="42"/>
  <c r="AE161" i="11"/>
  <c r="Z161" i="11"/>
  <c r="U161" i="11"/>
  <c r="P161" i="11"/>
  <c r="K161" i="11"/>
  <c r="F161" i="11"/>
  <c r="AE160" i="11"/>
  <c r="Z160" i="11"/>
  <c r="U160" i="11"/>
  <c r="P160" i="11"/>
  <c r="K160" i="11"/>
  <c r="F160" i="11"/>
  <c r="AE159" i="11"/>
  <c r="Z159" i="11"/>
  <c r="U159" i="11"/>
  <c r="P159" i="11"/>
  <c r="K159" i="11"/>
  <c r="F159" i="11"/>
  <c r="AE158" i="11"/>
  <c r="Z158" i="11"/>
  <c r="U158" i="11"/>
  <c r="P158" i="11"/>
  <c r="K158" i="11"/>
  <c r="F158" i="11"/>
  <c r="AE157" i="11"/>
  <c r="Z157" i="11"/>
  <c r="U157" i="11"/>
  <c r="P157" i="11"/>
  <c r="K157" i="11"/>
  <c r="F157" i="11"/>
  <c r="AE156" i="11"/>
  <c r="Z156" i="11"/>
  <c r="U156" i="11"/>
  <c r="P156" i="11"/>
  <c r="K156" i="11"/>
  <c r="F156" i="11"/>
  <c r="AE155" i="11"/>
  <c r="Z155" i="11"/>
  <c r="U155" i="11"/>
  <c r="P155" i="11"/>
  <c r="K155" i="11"/>
  <c r="F155" i="11"/>
  <c r="AE154" i="11"/>
  <c r="Z154" i="11"/>
  <c r="U154" i="11"/>
  <c r="P154" i="11"/>
  <c r="K154" i="11"/>
  <c r="F154" i="11"/>
  <c r="AE153" i="11"/>
  <c r="Z153" i="11"/>
  <c r="U153" i="11"/>
  <c r="P153" i="11"/>
  <c r="K153" i="11"/>
  <c r="F153" i="11"/>
  <c r="AE152" i="11"/>
  <c r="Z152" i="11"/>
  <c r="U152" i="11"/>
  <c r="P152" i="11"/>
  <c r="K152" i="11"/>
  <c r="F152" i="11"/>
  <c r="AE151" i="11"/>
  <c r="Z151" i="11"/>
  <c r="U151" i="11"/>
  <c r="P151" i="11"/>
  <c r="K151" i="11"/>
  <c r="F151" i="11"/>
  <c r="AE150" i="11"/>
  <c r="Z150" i="11"/>
  <c r="U150" i="11"/>
  <c r="P150" i="11"/>
  <c r="K150" i="11"/>
  <c r="F150" i="11"/>
  <c r="AE149" i="11"/>
  <c r="Z149" i="11"/>
  <c r="U149" i="11"/>
  <c r="P149" i="11"/>
  <c r="K149" i="11"/>
  <c r="F149" i="11"/>
  <c r="AE148" i="11"/>
  <c r="Z148" i="11"/>
  <c r="U148" i="11"/>
  <c r="P148" i="11"/>
  <c r="K148" i="11"/>
  <c r="F148" i="11"/>
  <c r="AE147" i="11"/>
  <c r="Z147" i="11"/>
  <c r="U147" i="11"/>
  <c r="P147" i="11"/>
  <c r="K147" i="11"/>
  <c r="F147" i="11"/>
  <c r="AE146" i="11"/>
  <c r="Z146" i="11"/>
  <c r="U146" i="11"/>
  <c r="P146" i="11"/>
  <c r="K146" i="11"/>
  <c r="F146" i="11"/>
  <c r="AE145" i="11"/>
  <c r="Z145" i="11"/>
  <c r="U145" i="11"/>
  <c r="P145" i="11"/>
  <c r="K145" i="11"/>
  <c r="F145" i="11"/>
  <c r="AE144" i="11"/>
  <c r="Z144" i="11"/>
  <c r="U144" i="11"/>
  <c r="P144" i="11"/>
  <c r="K144" i="11"/>
  <c r="F144" i="11"/>
  <c r="AE143" i="11"/>
  <c r="Z143" i="11"/>
  <c r="U143" i="11"/>
  <c r="P143" i="11"/>
  <c r="K143" i="11"/>
  <c r="F143" i="11"/>
  <c r="AE142" i="11"/>
  <c r="Z142" i="11"/>
  <c r="U142" i="11"/>
  <c r="P142" i="11"/>
  <c r="K142" i="11"/>
  <c r="F142" i="11"/>
  <c r="AE141" i="11"/>
  <c r="Z141" i="11"/>
  <c r="U141" i="11"/>
  <c r="P141" i="11"/>
  <c r="K141" i="11"/>
  <c r="F141" i="11"/>
  <c r="AE140" i="11"/>
  <c r="Z140" i="11"/>
  <c r="U140" i="11"/>
  <c r="P140" i="11"/>
  <c r="K140" i="11"/>
  <c r="F140" i="11"/>
  <c r="AE139" i="11"/>
  <c r="Z139" i="11"/>
  <c r="U139" i="11"/>
  <c r="P139" i="11"/>
  <c r="K139" i="11"/>
  <c r="F139" i="11"/>
  <c r="AE138" i="11"/>
  <c r="Z138" i="11"/>
  <c r="U138" i="11"/>
  <c r="P138" i="11"/>
  <c r="K138" i="11"/>
  <c r="F138" i="11"/>
  <c r="AE137" i="11"/>
  <c r="Z137" i="11"/>
  <c r="U137" i="11"/>
  <c r="P137" i="11"/>
  <c r="K137" i="11"/>
  <c r="F137" i="11"/>
  <c r="AE136" i="11"/>
  <c r="Z136" i="11"/>
  <c r="U136" i="11"/>
  <c r="P136" i="11"/>
  <c r="K136" i="11"/>
  <c r="F136" i="11"/>
  <c r="AE135" i="11"/>
  <c r="Z135" i="11"/>
  <c r="U135" i="11"/>
  <c r="P135" i="11"/>
  <c r="K135" i="11"/>
  <c r="F135" i="11"/>
  <c r="AE134" i="11"/>
  <c r="Z134" i="11"/>
  <c r="U134" i="11"/>
  <c r="P134" i="11"/>
  <c r="K134" i="11"/>
  <c r="F134" i="11"/>
  <c r="AE133" i="11"/>
  <c r="Z133" i="11"/>
  <c r="U133" i="11"/>
  <c r="P133" i="11"/>
  <c r="K133" i="11"/>
  <c r="F133" i="11"/>
  <c r="AE132" i="11"/>
  <c r="Z132" i="11"/>
  <c r="U132" i="11"/>
  <c r="P132" i="11"/>
  <c r="K132" i="11"/>
  <c r="K162" i="11" s="1"/>
  <c r="F132" i="11"/>
  <c r="AE131" i="11"/>
  <c r="Z131" i="11"/>
  <c r="U131" i="11"/>
  <c r="P131" i="11"/>
  <c r="K131" i="11"/>
  <c r="F131" i="11"/>
  <c r="AE127" i="11"/>
  <c r="Z127" i="11"/>
  <c r="U127" i="11"/>
  <c r="P127" i="11"/>
  <c r="K127" i="11"/>
  <c r="F127" i="11"/>
  <c r="AE126" i="11"/>
  <c r="Z126" i="11"/>
  <c r="U126" i="11"/>
  <c r="P126" i="11"/>
  <c r="K126" i="11"/>
  <c r="F126" i="11"/>
  <c r="AE125" i="11"/>
  <c r="Z125" i="11"/>
  <c r="U125" i="11"/>
  <c r="P125" i="11"/>
  <c r="K125" i="11"/>
  <c r="F125" i="11"/>
  <c r="AE124" i="11"/>
  <c r="Z124" i="11"/>
  <c r="U124" i="11"/>
  <c r="P124" i="11"/>
  <c r="K124" i="11"/>
  <c r="F124" i="11"/>
  <c r="AE123" i="11"/>
  <c r="Z123" i="11"/>
  <c r="U123" i="11"/>
  <c r="P123" i="11"/>
  <c r="K123" i="11"/>
  <c r="F123" i="11"/>
  <c r="AE122" i="11"/>
  <c r="Z122" i="11"/>
  <c r="U122" i="11"/>
  <c r="P122" i="11"/>
  <c r="K122" i="11"/>
  <c r="F122" i="11"/>
  <c r="AE121" i="11"/>
  <c r="Z121" i="11"/>
  <c r="U121" i="11"/>
  <c r="P121" i="11"/>
  <c r="K121" i="11"/>
  <c r="F121" i="11"/>
  <c r="AE120" i="11"/>
  <c r="Z120" i="11"/>
  <c r="U120" i="11"/>
  <c r="P120" i="11"/>
  <c r="K120" i="11"/>
  <c r="F120" i="11"/>
  <c r="AE119" i="11"/>
  <c r="Z119" i="11"/>
  <c r="U119" i="11"/>
  <c r="P119" i="11"/>
  <c r="K119" i="11"/>
  <c r="F119" i="11"/>
  <c r="AE118" i="11"/>
  <c r="Z118" i="11"/>
  <c r="U118" i="11"/>
  <c r="P118" i="11"/>
  <c r="K118" i="11"/>
  <c r="F118" i="11"/>
  <c r="AE117" i="11"/>
  <c r="Z117" i="11"/>
  <c r="U117" i="11"/>
  <c r="P117" i="11"/>
  <c r="K117" i="11"/>
  <c r="F117" i="11"/>
  <c r="AE116" i="11"/>
  <c r="Z116" i="11"/>
  <c r="U116" i="11"/>
  <c r="P116" i="11"/>
  <c r="K116" i="11"/>
  <c r="F116" i="11"/>
  <c r="AE115" i="11"/>
  <c r="Z115" i="11"/>
  <c r="U115" i="11"/>
  <c r="P115" i="11"/>
  <c r="K115" i="11"/>
  <c r="F115" i="11"/>
  <c r="AE114" i="11"/>
  <c r="Z114" i="11"/>
  <c r="U114" i="11"/>
  <c r="P114" i="11"/>
  <c r="K114" i="11"/>
  <c r="F114" i="11"/>
  <c r="AE113" i="11"/>
  <c r="Z113" i="11"/>
  <c r="U113" i="11"/>
  <c r="P113" i="11"/>
  <c r="K113" i="11"/>
  <c r="F113" i="11"/>
  <c r="AE112" i="11"/>
  <c r="Z112" i="11"/>
  <c r="U112" i="11"/>
  <c r="P112" i="11"/>
  <c r="K112" i="11"/>
  <c r="F112" i="11"/>
  <c r="AE111" i="11"/>
  <c r="Z111" i="11"/>
  <c r="U111" i="11"/>
  <c r="P111" i="11"/>
  <c r="K111" i="11"/>
  <c r="F111" i="11"/>
  <c r="AE110" i="11"/>
  <c r="Z110" i="11"/>
  <c r="U110" i="11"/>
  <c r="P110" i="11"/>
  <c r="K110" i="11"/>
  <c r="F110" i="11"/>
  <c r="AE109" i="11"/>
  <c r="Z109" i="11"/>
  <c r="U109" i="11"/>
  <c r="P109" i="11"/>
  <c r="K109" i="11"/>
  <c r="F109" i="11"/>
  <c r="AE108" i="11"/>
  <c r="Z108" i="11"/>
  <c r="U108" i="11"/>
  <c r="P108" i="11"/>
  <c r="K108" i="11"/>
  <c r="F108" i="11"/>
  <c r="AE107" i="11"/>
  <c r="Z107" i="11"/>
  <c r="U107" i="11"/>
  <c r="P107" i="11"/>
  <c r="K107" i="11"/>
  <c r="F107" i="11"/>
  <c r="AE106" i="11"/>
  <c r="Z106" i="11"/>
  <c r="U106" i="11"/>
  <c r="P106" i="11"/>
  <c r="K106" i="11"/>
  <c r="F106" i="11"/>
  <c r="AE105" i="11"/>
  <c r="Z105" i="11"/>
  <c r="U105" i="11"/>
  <c r="P105" i="11"/>
  <c r="K105" i="11"/>
  <c r="F105" i="11"/>
  <c r="AE104" i="11"/>
  <c r="Z104" i="11"/>
  <c r="U104" i="11"/>
  <c r="P104" i="11"/>
  <c r="K104" i="11"/>
  <c r="F104" i="11"/>
  <c r="AE103" i="11"/>
  <c r="Z103" i="11"/>
  <c r="U103" i="11"/>
  <c r="P103" i="11"/>
  <c r="K103" i="11"/>
  <c r="F103" i="11"/>
  <c r="AE102" i="11"/>
  <c r="Z102" i="11"/>
  <c r="U102" i="11"/>
  <c r="P102" i="11"/>
  <c r="K102" i="11"/>
  <c r="F102" i="11"/>
  <c r="AE101" i="11"/>
  <c r="Z101" i="11"/>
  <c r="U101" i="11"/>
  <c r="P101" i="11"/>
  <c r="K101" i="11"/>
  <c r="F101" i="11"/>
  <c r="AE100" i="11"/>
  <c r="Z100" i="11"/>
  <c r="U100" i="11"/>
  <c r="P100" i="11"/>
  <c r="K100" i="11"/>
  <c r="F100" i="11"/>
  <c r="AE99" i="11"/>
  <c r="AE128" i="11" s="1"/>
  <c r="Z99" i="11"/>
  <c r="U99" i="11"/>
  <c r="P99" i="11"/>
  <c r="K99" i="11"/>
  <c r="F99" i="11"/>
  <c r="AE98" i="11"/>
  <c r="Z98" i="11"/>
  <c r="U98" i="11"/>
  <c r="P98" i="11"/>
  <c r="K98" i="11"/>
  <c r="F98" i="11"/>
  <c r="AE97" i="11"/>
  <c r="Z97" i="11"/>
  <c r="U97" i="11"/>
  <c r="P97" i="11"/>
  <c r="K97" i="11"/>
  <c r="F97" i="11"/>
  <c r="AE91" i="11"/>
  <c r="Z91" i="11"/>
  <c r="U91" i="11"/>
  <c r="P91" i="11"/>
  <c r="K91" i="11"/>
  <c r="F91" i="11"/>
  <c r="AE90" i="11"/>
  <c r="Z90" i="11"/>
  <c r="U90" i="11"/>
  <c r="P90" i="11"/>
  <c r="K90" i="11"/>
  <c r="F90" i="11"/>
  <c r="AE89" i="11"/>
  <c r="Z89" i="11"/>
  <c r="U89" i="11"/>
  <c r="P89" i="11"/>
  <c r="K89" i="11"/>
  <c r="F89" i="11"/>
  <c r="AE88" i="11"/>
  <c r="Z88" i="11"/>
  <c r="U88" i="11"/>
  <c r="P88" i="11"/>
  <c r="K88" i="11"/>
  <c r="F88" i="11"/>
  <c r="AE87" i="11"/>
  <c r="Z87" i="11"/>
  <c r="U87" i="11"/>
  <c r="P87" i="11"/>
  <c r="K87" i="11"/>
  <c r="F87" i="11"/>
  <c r="AE86" i="11"/>
  <c r="Z86" i="11"/>
  <c r="U86" i="11"/>
  <c r="P86" i="11"/>
  <c r="K86" i="11"/>
  <c r="F86" i="11"/>
  <c r="AE85" i="11"/>
  <c r="Z85" i="11"/>
  <c r="U85" i="11"/>
  <c r="P85" i="11"/>
  <c r="K85" i="11"/>
  <c r="F85" i="11"/>
  <c r="AE84" i="11"/>
  <c r="Z84" i="11"/>
  <c r="U84" i="11"/>
  <c r="P84" i="11"/>
  <c r="K84" i="11"/>
  <c r="F84" i="11"/>
  <c r="AE83" i="11"/>
  <c r="Z83" i="11"/>
  <c r="U83" i="11"/>
  <c r="P83" i="11"/>
  <c r="K83" i="11"/>
  <c r="F83" i="11"/>
  <c r="AE82" i="11"/>
  <c r="Z82" i="11"/>
  <c r="U82" i="11"/>
  <c r="P82" i="11"/>
  <c r="K82" i="11"/>
  <c r="F82" i="11"/>
  <c r="AE81" i="11"/>
  <c r="Z81" i="11"/>
  <c r="U81" i="11"/>
  <c r="P81" i="11"/>
  <c r="K81" i="11"/>
  <c r="F81" i="11"/>
  <c r="AE80" i="11"/>
  <c r="Z80" i="11"/>
  <c r="U80" i="11"/>
  <c r="P80" i="11"/>
  <c r="K80" i="11"/>
  <c r="F80" i="11"/>
  <c r="AE79" i="11"/>
  <c r="Z79" i="11"/>
  <c r="U79" i="11"/>
  <c r="P79" i="11"/>
  <c r="K79" i="11"/>
  <c r="F79" i="11"/>
  <c r="AE78" i="11"/>
  <c r="Z78" i="11"/>
  <c r="U78" i="11"/>
  <c r="P78" i="11"/>
  <c r="K78" i="11"/>
  <c r="F78" i="11"/>
  <c r="AE77" i="11"/>
  <c r="Z77" i="11"/>
  <c r="U77" i="11"/>
  <c r="P77" i="11"/>
  <c r="K77" i="11"/>
  <c r="F77" i="11"/>
  <c r="AE76" i="11"/>
  <c r="Z76" i="11"/>
  <c r="U76" i="11"/>
  <c r="P76" i="11"/>
  <c r="K76" i="11"/>
  <c r="F76" i="11"/>
  <c r="AE75" i="11"/>
  <c r="Z75" i="11"/>
  <c r="U75" i="11"/>
  <c r="P75" i="11"/>
  <c r="K75" i="11"/>
  <c r="F75" i="11"/>
  <c r="AE74" i="11"/>
  <c r="Z74" i="11"/>
  <c r="U74" i="11"/>
  <c r="P74" i="11"/>
  <c r="K74" i="11"/>
  <c r="F74" i="11"/>
  <c r="AE73" i="11"/>
  <c r="Z73" i="11"/>
  <c r="U73" i="11"/>
  <c r="P73" i="11"/>
  <c r="K73" i="11"/>
  <c r="F73" i="11"/>
  <c r="AE72" i="11"/>
  <c r="Z72" i="11"/>
  <c r="U72" i="11"/>
  <c r="P72" i="11"/>
  <c r="K72" i="11"/>
  <c r="F72" i="11"/>
  <c r="AE71" i="11"/>
  <c r="Z71" i="11"/>
  <c r="U71" i="11"/>
  <c r="P71" i="11"/>
  <c r="K71" i="11"/>
  <c r="F71" i="11"/>
  <c r="AE70" i="11"/>
  <c r="Z70" i="11"/>
  <c r="U70" i="11"/>
  <c r="P70" i="11"/>
  <c r="K70" i="11"/>
  <c r="F70" i="11"/>
  <c r="AE69" i="11"/>
  <c r="Z69" i="11"/>
  <c r="U69" i="11"/>
  <c r="P69" i="11"/>
  <c r="K69" i="11"/>
  <c r="F69" i="11"/>
  <c r="AE68" i="11"/>
  <c r="Z68" i="11"/>
  <c r="U68" i="11"/>
  <c r="P68" i="11"/>
  <c r="K68" i="11"/>
  <c r="F68" i="11"/>
  <c r="AE67" i="11"/>
  <c r="Z67" i="11"/>
  <c r="U67" i="11"/>
  <c r="P67" i="11"/>
  <c r="K67" i="11"/>
  <c r="F67" i="11"/>
  <c r="AE66" i="11"/>
  <c r="Z66" i="11"/>
  <c r="U66" i="11"/>
  <c r="P66" i="11"/>
  <c r="K66" i="11"/>
  <c r="F66" i="11"/>
  <c r="AE65" i="11"/>
  <c r="Z65" i="11"/>
  <c r="U65" i="11"/>
  <c r="P65" i="11"/>
  <c r="K65" i="11"/>
  <c r="F65" i="11"/>
  <c r="AE64" i="11"/>
  <c r="Z64" i="11"/>
  <c r="U64" i="11"/>
  <c r="P64" i="11"/>
  <c r="K64" i="11"/>
  <c r="F64" i="11"/>
  <c r="AE63" i="11"/>
  <c r="Z63" i="11"/>
  <c r="U63" i="11"/>
  <c r="P63" i="11"/>
  <c r="K63" i="11"/>
  <c r="F63" i="11"/>
  <c r="AE62" i="11"/>
  <c r="Z62" i="11"/>
  <c r="U62" i="11"/>
  <c r="P62" i="11"/>
  <c r="K62" i="11"/>
  <c r="F62" i="11"/>
  <c r="AE61" i="11"/>
  <c r="Z61" i="11"/>
  <c r="U61" i="11"/>
  <c r="P61" i="11"/>
  <c r="K61" i="11"/>
  <c r="F61" i="11"/>
  <c r="AE57" i="11"/>
  <c r="Z57" i="11"/>
  <c r="U57" i="11"/>
  <c r="P57" i="11"/>
  <c r="K57" i="11"/>
  <c r="F57" i="11"/>
  <c r="AE56" i="11"/>
  <c r="Z56" i="11"/>
  <c r="U56" i="11"/>
  <c r="P56" i="11"/>
  <c r="K56" i="11"/>
  <c r="F56" i="11"/>
  <c r="AE55" i="11"/>
  <c r="Z55" i="11"/>
  <c r="U55" i="11"/>
  <c r="P55" i="11"/>
  <c r="K55" i="11"/>
  <c r="F55" i="11"/>
  <c r="AE54" i="11"/>
  <c r="Z54" i="11"/>
  <c r="U54" i="11"/>
  <c r="P54" i="11"/>
  <c r="K54" i="11"/>
  <c r="F54" i="11"/>
  <c r="AE53" i="11"/>
  <c r="Z53" i="11"/>
  <c r="U53" i="11"/>
  <c r="P53" i="11"/>
  <c r="K53" i="11"/>
  <c r="F53" i="11"/>
  <c r="AE52" i="11"/>
  <c r="Z52" i="11"/>
  <c r="U52" i="11"/>
  <c r="P52" i="11"/>
  <c r="K52" i="11"/>
  <c r="F52" i="11"/>
  <c r="AE51" i="11"/>
  <c r="Z51" i="11"/>
  <c r="U51" i="11"/>
  <c r="P51" i="11"/>
  <c r="K51" i="11"/>
  <c r="F51" i="11"/>
  <c r="AE50" i="11"/>
  <c r="Z50" i="11"/>
  <c r="U50" i="11"/>
  <c r="P50" i="11"/>
  <c r="K50" i="11"/>
  <c r="F50" i="11"/>
  <c r="AE49" i="11"/>
  <c r="Z49" i="11"/>
  <c r="U49" i="11"/>
  <c r="P49" i="11"/>
  <c r="K49" i="11"/>
  <c r="F49" i="11"/>
  <c r="AE48" i="11"/>
  <c r="Z48" i="11"/>
  <c r="U48" i="11"/>
  <c r="P48" i="11"/>
  <c r="K48" i="11"/>
  <c r="F48" i="11"/>
  <c r="AE47" i="11"/>
  <c r="Z47" i="11"/>
  <c r="U47" i="11"/>
  <c r="P47" i="11"/>
  <c r="K47" i="11"/>
  <c r="F47" i="11"/>
  <c r="AE46" i="11"/>
  <c r="Z46" i="11"/>
  <c r="U46" i="11"/>
  <c r="P46" i="11"/>
  <c r="K46" i="11"/>
  <c r="F46" i="11"/>
  <c r="AE45" i="11"/>
  <c r="Z45" i="11"/>
  <c r="U45" i="11"/>
  <c r="P45" i="11"/>
  <c r="K45" i="11"/>
  <c r="F45" i="11"/>
  <c r="AE44" i="11"/>
  <c r="Z44" i="11"/>
  <c r="U44" i="11"/>
  <c r="P44" i="11"/>
  <c r="K44" i="11"/>
  <c r="F44" i="11"/>
  <c r="AE43" i="11"/>
  <c r="Z43" i="11"/>
  <c r="U43" i="11"/>
  <c r="P43" i="11"/>
  <c r="K43" i="11"/>
  <c r="F43" i="11"/>
  <c r="AE42" i="11"/>
  <c r="Z42" i="11"/>
  <c r="U42" i="11"/>
  <c r="P42" i="11"/>
  <c r="K42" i="11"/>
  <c r="F42" i="11"/>
  <c r="AE41" i="11"/>
  <c r="Z41" i="11"/>
  <c r="U41" i="11"/>
  <c r="P41" i="11"/>
  <c r="K41" i="11"/>
  <c r="F41" i="11"/>
  <c r="AE40" i="11"/>
  <c r="Z40" i="11"/>
  <c r="U40" i="11"/>
  <c r="P40" i="11"/>
  <c r="K40" i="11"/>
  <c r="F40" i="11"/>
  <c r="AE39" i="11"/>
  <c r="Z39" i="11"/>
  <c r="U39" i="11"/>
  <c r="P39" i="11"/>
  <c r="K39" i="11"/>
  <c r="F39" i="11"/>
  <c r="AE38" i="11"/>
  <c r="Z38" i="11"/>
  <c r="U38" i="11"/>
  <c r="P38" i="11"/>
  <c r="K38" i="11"/>
  <c r="F38" i="11"/>
  <c r="AE37" i="11"/>
  <c r="Z37" i="11"/>
  <c r="U37" i="11"/>
  <c r="P37" i="11"/>
  <c r="K37" i="11"/>
  <c r="F37" i="11"/>
  <c r="AE36" i="11"/>
  <c r="Z36" i="11"/>
  <c r="U36" i="11"/>
  <c r="P36" i="11"/>
  <c r="K36" i="11"/>
  <c r="F36" i="11"/>
  <c r="AE35" i="11"/>
  <c r="Z35" i="11"/>
  <c r="U35" i="11"/>
  <c r="P35" i="11"/>
  <c r="K35" i="11"/>
  <c r="F35" i="11"/>
  <c r="AE34" i="11"/>
  <c r="Z34" i="11"/>
  <c r="U34" i="11"/>
  <c r="P34" i="11"/>
  <c r="K34" i="11"/>
  <c r="F34" i="11"/>
  <c r="AE33" i="11"/>
  <c r="Z33" i="11"/>
  <c r="U33" i="11"/>
  <c r="P33" i="11"/>
  <c r="K33" i="11"/>
  <c r="F33" i="11"/>
  <c r="AE32" i="11"/>
  <c r="Z32" i="11"/>
  <c r="U32" i="11"/>
  <c r="P32" i="11"/>
  <c r="K32" i="11"/>
  <c r="F32" i="11"/>
  <c r="AE31" i="11"/>
  <c r="Z31" i="11"/>
  <c r="U31" i="11"/>
  <c r="P31" i="11"/>
  <c r="K31" i="11"/>
  <c r="F31" i="11"/>
  <c r="AE30" i="11"/>
  <c r="Z30" i="11"/>
  <c r="U30" i="11"/>
  <c r="P30" i="11"/>
  <c r="K30" i="11"/>
  <c r="F30" i="11"/>
  <c r="AE29" i="11"/>
  <c r="Z29" i="11"/>
  <c r="U29" i="11"/>
  <c r="P29" i="11"/>
  <c r="K29" i="11"/>
  <c r="F29" i="11"/>
  <c r="AE28" i="11"/>
  <c r="Z28" i="11"/>
  <c r="U28" i="11"/>
  <c r="P28" i="11"/>
  <c r="K28" i="11"/>
  <c r="F28" i="11"/>
  <c r="AE27" i="11"/>
  <c r="Z27" i="11"/>
  <c r="U27" i="11"/>
  <c r="P27" i="11"/>
  <c r="K27" i="11"/>
  <c r="F27" i="11"/>
  <c r="AD161" i="11"/>
  <c r="Y161" i="11"/>
  <c r="T161" i="11"/>
  <c r="O161" i="11"/>
  <c r="J161" i="11"/>
  <c r="E161" i="11"/>
  <c r="AD160" i="11"/>
  <c r="Y160" i="11"/>
  <c r="T160" i="11"/>
  <c r="O160" i="11"/>
  <c r="J160" i="11"/>
  <c r="E160" i="11"/>
  <c r="AD159" i="11"/>
  <c r="Y159" i="11"/>
  <c r="T159" i="11"/>
  <c r="O159" i="11"/>
  <c r="J159" i="11"/>
  <c r="E159" i="11"/>
  <c r="AD158" i="11"/>
  <c r="Y158" i="11"/>
  <c r="T158" i="11"/>
  <c r="O158" i="11"/>
  <c r="J158" i="11"/>
  <c r="E158" i="11"/>
  <c r="AD157" i="11"/>
  <c r="Y157" i="11"/>
  <c r="T157" i="11"/>
  <c r="O157" i="11"/>
  <c r="J157" i="11"/>
  <c r="E157" i="11"/>
  <c r="AD156" i="11"/>
  <c r="Y156" i="11"/>
  <c r="T156" i="11"/>
  <c r="O156" i="11"/>
  <c r="J156" i="11"/>
  <c r="E156" i="11"/>
  <c r="AD155" i="11"/>
  <c r="Y155" i="11"/>
  <c r="T155" i="11"/>
  <c r="O155" i="11"/>
  <c r="J155" i="11"/>
  <c r="E155" i="11"/>
  <c r="AD154" i="11"/>
  <c r="Y154" i="11"/>
  <c r="T154" i="11"/>
  <c r="O154" i="11"/>
  <c r="J154" i="11"/>
  <c r="E154" i="11"/>
  <c r="AD153" i="11"/>
  <c r="Y153" i="11"/>
  <c r="T153" i="11"/>
  <c r="O153" i="11"/>
  <c r="J153" i="11"/>
  <c r="E153" i="11"/>
  <c r="AD152" i="11"/>
  <c r="Y152" i="11"/>
  <c r="T152" i="11"/>
  <c r="O152" i="11"/>
  <c r="J152" i="11"/>
  <c r="E152" i="11"/>
  <c r="AD151" i="11"/>
  <c r="Y151" i="11"/>
  <c r="T151" i="11"/>
  <c r="O151" i="11"/>
  <c r="J151" i="11"/>
  <c r="E151" i="11"/>
  <c r="AD150" i="11"/>
  <c r="Y150" i="11"/>
  <c r="T150" i="11"/>
  <c r="O150" i="11"/>
  <c r="J150" i="11"/>
  <c r="E150" i="11"/>
  <c r="AD149" i="11"/>
  <c r="Y149" i="11"/>
  <c r="T149" i="11"/>
  <c r="O149" i="11"/>
  <c r="J149" i="11"/>
  <c r="E149" i="11"/>
  <c r="AD148" i="11"/>
  <c r="Y148" i="11"/>
  <c r="T148" i="11"/>
  <c r="O148" i="11"/>
  <c r="J148" i="11"/>
  <c r="E148" i="11"/>
  <c r="AD147" i="11"/>
  <c r="Y147" i="11"/>
  <c r="T147" i="11"/>
  <c r="O147" i="11"/>
  <c r="J147" i="11"/>
  <c r="E147" i="11"/>
  <c r="AD146" i="11"/>
  <c r="Y146" i="11"/>
  <c r="T146" i="11"/>
  <c r="O146" i="11"/>
  <c r="J146" i="11"/>
  <c r="E146" i="11"/>
  <c r="AD145" i="11"/>
  <c r="Y145" i="11"/>
  <c r="T145" i="11"/>
  <c r="O145" i="11"/>
  <c r="J145" i="11"/>
  <c r="E145" i="11"/>
  <c r="AD144" i="11"/>
  <c r="Y144" i="11"/>
  <c r="T144" i="11"/>
  <c r="O144" i="11"/>
  <c r="J144" i="11"/>
  <c r="E144" i="11"/>
  <c r="AD143" i="11"/>
  <c r="Y143" i="11"/>
  <c r="T143" i="11"/>
  <c r="O143" i="11"/>
  <c r="J143" i="11"/>
  <c r="E143" i="11"/>
  <c r="AD142" i="11"/>
  <c r="Y142" i="11"/>
  <c r="T142" i="11"/>
  <c r="O142" i="11"/>
  <c r="J142" i="11"/>
  <c r="E142" i="11"/>
  <c r="AD141" i="11"/>
  <c r="Y141" i="11"/>
  <c r="T141" i="11"/>
  <c r="O141" i="11"/>
  <c r="J141" i="11"/>
  <c r="E141" i="11"/>
  <c r="AD140" i="11"/>
  <c r="Y140" i="11"/>
  <c r="T140" i="11"/>
  <c r="O140" i="11"/>
  <c r="J140" i="11"/>
  <c r="E140" i="11"/>
  <c r="AD139" i="11"/>
  <c r="Y139" i="11"/>
  <c r="T139" i="11"/>
  <c r="O139" i="11"/>
  <c r="J139" i="11"/>
  <c r="E139" i="11"/>
  <c r="AD138" i="11"/>
  <c r="Y138" i="11"/>
  <c r="T138" i="11"/>
  <c r="O138" i="11"/>
  <c r="J138" i="11"/>
  <c r="E138" i="11"/>
  <c r="AD137" i="11"/>
  <c r="Y137" i="11"/>
  <c r="T137" i="11"/>
  <c r="O137" i="11"/>
  <c r="J137" i="11"/>
  <c r="E137" i="11"/>
  <c r="AD136" i="11"/>
  <c r="Y136" i="11"/>
  <c r="T136" i="11"/>
  <c r="O136" i="11"/>
  <c r="J136" i="11"/>
  <c r="E136" i="11"/>
  <c r="AD135" i="11"/>
  <c r="Y135" i="11"/>
  <c r="T135" i="11"/>
  <c r="O135" i="11"/>
  <c r="J135" i="11"/>
  <c r="E135" i="11"/>
  <c r="AD134" i="11"/>
  <c r="Y134" i="11"/>
  <c r="T134" i="11"/>
  <c r="O134" i="11"/>
  <c r="J134" i="11"/>
  <c r="E134" i="11"/>
  <c r="AD133" i="11"/>
  <c r="Y133" i="11"/>
  <c r="T133" i="11"/>
  <c r="O133" i="11"/>
  <c r="J133" i="11"/>
  <c r="E133" i="11"/>
  <c r="AD132" i="11"/>
  <c r="Y132" i="11"/>
  <c r="T132" i="11"/>
  <c r="O132" i="11"/>
  <c r="J132" i="11"/>
  <c r="E132" i="11"/>
  <c r="AD131" i="11"/>
  <c r="Y131" i="11"/>
  <c r="T131" i="11"/>
  <c r="O131" i="11"/>
  <c r="J131" i="11"/>
  <c r="E131" i="11"/>
  <c r="AD127" i="11"/>
  <c r="Y127" i="11"/>
  <c r="T127" i="11"/>
  <c r="O127" i="11"/>
  <c r="J127" i="11"/>
  <c r="E127" i="11"/>
  <c r="AD126" i="11"/>
  <c r="Y126" i="11"/>
  <c r="T126" i="11"/>
  <c r="O126" i="11"/>
  <c r="J126" i="11"/>
  <c r="E126" i="11"/>
  <c r="AD125" i="11"/>
  <c r="Y125" i="11"/>
  <c r="T125" i="11"/>
  <c r="O125" i="11"/>
  <c r="J125" i="11"/>
  <c r="E125" i="11"/>
  <c r="AD124" i="11"/>
  <c r="Y124" i="11"/>
  <c r="T124" i="11"/>
  <c r="O124" i="11"/>
  <c r="J124" i="11"/>
  <c r="E124" i="11"/>
  <c r="AD123" i="11"/>
  <c r="Y123" i="11"/>
  <c r="T123" i="11"/>
  <c r="O123" i="11"/>
  <c r="J123" i="11"/>
  <c r="E123" i="11"/>
  <c r="AD122" i="11"/>
  <c r="Y122" i="11"/>
  <c r="T122" i="11"/>
  <c r="O122" i="11"/>
  <c r="J122" i="11"/>
  <c r="E122" i="11"/>
  <c r="AD121" i="11"/>
  <c r="Y121" i="11"/>
  <c r="T121" i="11"/>
  <c r="O121" i="11"/>
  <c r="J121" i="11"/>
  <c r="E121" i="11"/>
  <c r="AD120" i="11"/>
  <c r="Y120" i="11"/>
  <c r="T120" i="11"/>
  <c r="O120" i="11"/>
  <c r="J120" i="11"/>
  <c r="E120" i="11"/>
  <c r="AD119" i="11"/>
  <c r="Y119" i="11"/>
  <c r="T119" i="11"/>
  <c r="O119" i="11"/>
  <c r="J119" i="11"/>
  <c r="E119" i="11"/>
  <c r="AD118" i="11"/>
  <c r="Y118" i="11"/>
  <c r="T118" i="11"/>
  <c r="O118" i="11"/>
  <c r="J118" i="11"/>
  <c r="E118" i="11"/>
  <c r="AD117" i="11"/>
  <c r="Y117" i="11"/>
  <c r="T117" i="11"/>
  <c r="O117" i="11"/>
  <c r="J117" i="11"/>
  <c r="E117" i="11"/>
  <c r="AD116" i="11"/>
  <c r="Y116" i="11"/>
  <c r="T116" i="11"/>
  <c r="O116" i="11"/>
  <c r="J116" i="11"/>
  <c r="E116" i="11"/>
  <c r="AD115" i="11"/>
  <c r="Y115" i="11"/>
  <c r="T115" i="11"/>
  <c r="O115" i="11"/>
  <c r="J115" i="11"/>
  <c r="E115" i="11"/>
  <c r="AD114" i="11"/>
  <c r="Y114" i="11"/>
  <c r="T114" i="11"/>
  <c r="O114" i="11"/>
  <c r="J114" i="11"/>
  <c r="E114" i="11"/>
  <c r="AD113" i="11"/>
  <c r="Y113" i="11"/>
  <c r="T113" i="11"/>
  <c r="O113" i="11"/>
  <c r="J113" i="11"/>
  <c r="E113" i="11"/>
  <c r="AD112" i="11"/>
  <c r="Y112" i="11"/>
  <c r="T112" i="11"/>
  <c r="O112" i="11"/>
  <c r="J112" i="11"/>
  <c r="E112" i="11"/>
  <c r="AD111" i="11"/>
  <c r="Y111" i="11"/>
  <c r="T111" i="11"/>
  <c r="O111" i="11"/>
  <c r="J111" i="11"/>
  <c r="E111" i="11"/>
  <c r="AD110" i="11"/>
  <c r="Y110" i="11"/>
  <c r="T110" i="11"/>
  <c r="O110" i="11"/>
  <c r="J110" i="11"/>
  <c r="E110" i="11"/>
  <c r="AD109" i="11"/>
  <c r="Y109" i="11"/>
  <c r="T109" i="11"/>
  <c r="O109" i="11"/>
  <c r="J109" i="11"/>
  <c r="E109" i="11"/>
  <c r="AD108" i="11"/>
  <c r="Y108" i="11"/>
  <c r="T108" i="11"/>
  <c r="O108" i="11"/>
  <c r="J108" i="11"/>
  <c r="E108" i="11"/>
  <c r="AD107" i="11"/>
  <c r="Y107" i="11"/>
  <c r="T107" i="11"/>
  <c r="O107" i="11"/>
  <c r="J107" i="11"/>
  <c r="E107" i="11"/>
  <c r="AD106" i="11"/>
  <c r="Y106" i="11"/>
  <c r="T106" i="11"/>
  <c r="O106" i="11"/>
  <c r="J106" i="11"/>
  <c r="E106" i="11"/>
  <c r="AD105" i="11"/>
  <c r="Y105" i="11"/>
  <c r="T105" i="11"/>
  <c r="O105" i="11"/>
  <c r="J105" i="11"/>
  <c r="E105" i="11"/>
  <c r="AD104" i="11"/>
  <c r="Y104" i="11"/>
  <c r="T104" i="11"/>
  <c r="O104" i="11"/>
  <c r="J104" i="11"/>
  <c r="E104" i="11"/>
  <c r="AD103" i="11"/>
  <c r="Y103" i="11"/>
  <c r="T103" i="11"/>
  <c r="O103" i="11"/>
  <c r="J103" i="11"/>
  <c r="E103" i="11"/>
  <c r="AD102" i="11"/>
  <c r="Y102" i="11"/>
  <c r="T102" i="11"/>
  <c r="O102" i="11"/>
  <c r="J102" i="11"/>
  <c r="E102" i="11"/>
  <c r="AD101" i="11"/>
  <c r="Y101" i="11"/>
  <c r="T101" i="11"/>
  <c r="O101" i="11"/>
  <c r="J101" i="11"/>
  <c r="E101" i="11"/>
  <c r="AD100" i="11"/>
  <c r="Y100" i="11"/>
  <c r="T100" i="11"/>
  <c r="O100" i="11"/>
  <c r="J100" i="11"/>
  <c r="E100" i="11"/>
  <c r="AD99" i="11"/>
  <c r="Y99" i="11"/>
  <c r="T99" i="11"/>
  <c r="O99" i="11"/>
  <c r="J99" i="11"/>
  <c r="E99" i="11"/>
  <c r="AD98" i="11"/>
  <c r="Y98" i="11"/>
  <c r="T98" i="11"/>
  <c r="O98" i="11"/>
  <c r="J98" i="11"/>
  <c r="E98" i="11"/>
  <c r="AD97" i="11"/>
  <c r="Y97" i="11"/>
  <c r="T97" i="11"/>
  <c r="O97" i="11"/>
  <c r="J97" i="11"/>
  <c r="E97" i="11"/>
  <c r="AD91" i="11"/>
  <c r="Y91" i="11"/>
  <c r="T91" i="11"/>
  <c r="O91" i="11"/>
  <c r="J91" i="11"/>
  <c r="E91" i="11"/>
  <c r="AD90" i="11"/>
  <c r="Y90" i="11"/>
  <c r="T90" i="11"/>
  <c r="O90" i="11"/>
  <c r="J90" i="11"/>
  <c r="E90" i="11"/>
  <c r="AD89" i="11"/>
  <c r="Y89" i="11"/>
  <c r="T89" i="11"/>
  <c r="O89" i="11"/>
  <c r="J89" i="11"/>
  <c r="E89" i="11"/>
  <c r="AD88" i="11"/>
  <c r="Y88" i="11"/>
  <c r="T88" i="11"/>
  <c r="O88" i="11"/>
  <c r="J88" i="11"/>
  <c r="E88" i="11"/>
  <c r="AD87" i="11"/>
  <c r="Y87" i="11"/>
  <c r="T87" i="11"/>
  <c r="O87" i="11"/>
  <c r="J87" i="11"/>
  <c r="E87" i="11"/>
  <c r="AD86" i="11"/>
  <c r="Y86" i="11"/>
  <c r="T86" i="11"/>
  <c r="O86" i="11"/>
  <c r="J86" i="11"/>
  <c r="E86" i="11"/>
  <c r="AD85" i="11"/>
  <c r="Y85" i="11"/>
  <c r="T85" i="11"/>
  <c r="O85" i="11"/>
  <c r="J85" i="11"/>
  <c r="E85" i="11"/>
  <c r="AD84" i="11"/>
  <c r="Y84" i="11"/>
  <c r="T84" i="11"/>
  <c r="O84" i="11"/>
  <c r="J84" i="11"/>
  <c r="E84" i="11"/>
  <c r="AD83" i="11"/>
  <c r="Y83" i="11"/>
  <c r="T83" i="11"/>
  <c r="O83" i="11"/>
  <c r="J83" i="11"/>
  <c r="E83" i="11"/>
  <c r="AD82" i="11"/>
  <c r="Y82" i="11"/>
  <c r="T82" i="11"/>
  <c r="O82" i="11"/>
  <c r="J82" i="11"/>
  <c r="E82" i="11"/>
  <c r="AD81" i="11"/>
  <c r="Y81" i="11"/>
  <c r="T81" i="11"/>
  <c r="O81" i="11"/>
  <c r="J81" i="11"/>
  <c r="E81" i="11"/>
  <c r="AD80" i="11"/>
  <c r="Y80" i="11"/>
  <c r="T80" i="11"/>
  <c r="O80" i="11"/>
  <c r="J80" i="11"/>
  <c r="E80" i="11"/>
  <c r="AD79" i="11"/>
  <c r="Y79" i="11"/>
  <c r="T79" i="11"/>
  <c r="O79" i="11"/>
  <c r="J79" i="11"/>
  <c r="E79" i="11"/>
  <c r="AD78" i="11"/>
  <c r="Y78" i="11"/>
  <c r="T78" i="11"/>
  <c r="O78" i="11"/>
  <c r="J78" i="11"/>
  <c r="E78" i="11"/>
  <c r="AD77" i="11"/>
  <c r="Y77" i="11"/>
  <c r="T77" i="11"/>
  <c r="O77" i="11"/>
  <c r="J77" i="11"/>
  <c r="E77" i="11"/>
  <c r="AD76" i="11"/>
  <c r="Y76" i="11"/>
  <c r="T76" i="11"/>
  <c r="O76" i="11"/>
  <c r="J76" i="11"/>
  <c r="E76" i="11"/>
  <c r="AD75" i="11"/>
  <c r="Y75" i="11"/>
  <c r="T75" i="11"/>
  <c r="O75" i="11"/>
  <c r="J75" i="11"/>
  <c r="E75" i="11"/>
  <c r="AD74" i="11"/>
  <c r="Y74" i="11"/>
  <c r="T74" i="11"/>
  <c r="O74" i="11"/>
  <c r="J74" i="11"/>
  <c r="E74" i="11"/>
  <c r="AD73" i="11"/>
  <c r="Y73" i="11"/>
  <c r="T73" i="11"/>
  <c r="O73" i="11"/>
  <c r="J73" i="11"/>
  <c r="E73" i="11"/>
  <c r="AD72" i="11"/>
  <c r="Y72" i="11"/>
  <c r="T72" i="11"/>
  <c r="O72" i="11"/>
  <c r="J72" i="11"/>
  <c r="E72" i="11"/>
  <c r="AD71" i="11"/>
  <c r="Y71" i="11"/>
  <c r="T71" i="11"/>
  <c r="O71" i="11"/>
  <c r="J71" i="11"/>
  <c r="E71" i="11"/>
  <c r="AD70" i="11"/>
  <c r="Y70" i="11"/>
  <c r="T70" i="11"/>
  <c r="O70" i="11"/>
  <c r="J70" i="11"/>
  <c r="E70" i="11"/>
  <c r="AD69" i="11"/>
  <c r="Y69" i="11"/>
  <c r="T69" i="11"/>
  <c r="O69" i="11"/>
  <c r="J69" i="11"/>
  <c r="E69" i="11"/>
  <c r="AD68" i="11"/>
  <c r="Y68" i="11"/>
  <c r="T68" i="11"/>
  <c r="O68" i="11"/>
  <c r="J68" i="11"/>
  <c r="E68" i="11"/>
  <c r="AD67" i="11"/>
  <c r="Y67" i="11"/>
  <c r="T67" i="11"/>
  <c r="O67" i="11"/>
  <c r="J67" i="11"/>
  <c r="E67" i="11"/>
  <c r="AD66" i="11"/>
  <c r="Y66" i="11"/>
  <c r="T66" i="11"/>
  <c r="O66" i="11"/>
  <c r="J66" i="11"/>
  <c r="E66" i="11"/>
  <c r="AD65" i="11"/>
  <c r="Y65" i="11"/>
  <c r="T65" i="11"/>
  <c r="O65" i="11"/>
  <c r="J65" i="11"/>
  <c r="E65" i="11"/>
  <c r="AD64" i="11"/>
  <c r="Y64" i="11"/>
  <c r="T64" i="11"/>
  <c r="O64" i="11"/>
  <c r="J64" i="11"/>
  <c r="E64" i="11"/>
  <c r="AD63" i="11"/>
  <c r="Y63" i="11"/>
  <c r="T63" i="11"/>
  <c r="O63" i="11"/>
  <c r="J63" i="11"/>
  <c r="E63" i="11"/>
  <c r="AD62" i="11"/>
  <c r="Y62" i="11"/>
  <c r="T62" i="11"/>
  <c r="O62" i="11"/>
  <c r="J62" i="11"/>
  <c r="E62" i="11"/>
  <c r="AD61" i="11"/>
  <c r="Y61" i="11"/>
  <c r="T61" i="11"/>
  <c r="O61" i="11"/>
  <c r="J61" i="11"/>
  <c r="E61" i="11"/>
  <c r="AD57" i="11"/>
  <c r="Y57" i="11"/>
  <c r="T57" i="11"/>
  <c r="O57" i="11"/>
  <c r="J57" i="11"/>
  <c r="E57" i="11"/>
  <c r="AD56" i="11"/>
  <c r="Y56" i="11"/>
  <c r="T56" i="11"/>
  <c r="O56" i="11"/>
  <c r="J56" i="11"/>
  <c r="E56" i="11"/>
  <c r="AD55" i="11"/>
  <c r="Y55" i="11"/>
  <c r="T55" i="11"/>
  <c r="O55" i="11"/>
  <c r="J55" i="11"/>
  <c r="E55" i="11"/>
  <c r="AD54" i="11"/>
  <c r="Y54" i="11"/>
  <c r="T54" i="11"/>
  <c r="O54" i="11"/>
  <c r="J54" i="11"/>
  <c r="E54" i="11"/>
  <c r="AD53" i="11"/>
  <c r="Y53" i="11"/>
  <c r="T53" i="11"/>
  <c r="O53" i="11"/>
  <c r="J53" i="11"/>
  <c r="E53" i="11"/>
  <c r="AD52" i="11"/>
  <c r="Y52" i="11"/>
  <c r="T52" i="11"/>
  <c r="O52" i="11"/>
  <c r="J52" i="11"/>
  <c r="E52" i="11"/>
  <c r="AD51" i="11"/>
  <c r="Y51" i="11"/>
  <c r="T51" i="11"/>
  <c r="O51" i="11"/>
  <c r="J51" i="11"/>
  <c r="E51" i="11"/>
  <c r="AD50" i="11"/>
  <c r="Y50" i="11"/>
  <c r="T50" i="11"/>
  <c r="O50" i="11"/>
  <c r="J50" i="11"/>
  <c r="E50" i="11"/>
  <c r="AD49" i="11"/>
  <c r="Y49" i="11"/>
  <c r="T49" i="11"/>
  <c r="O49" i="11"/>
  <c r="J49" i="11"/>
  <c r="E49" i="11"/>
  <c r="AD48" i="11"/>
  <c r="Y48" i="11"/>
  <c r="T48" i="11"/>
  <c r="O48" i="11"/>
  <c r="J48" i="11"/>
  <c r="E48" i="11"/>
  <c r="AD47" i="11"/>
  <c r="Y47" i="11"/>
  <c r="T47" i="11"/>
  <c r="O47" i="11"/>
  <c r="J47" i="11"/>
  <c r="E47" i="11"/>
  <c r="AD46" i="11"/>
  <c r="Y46" i="11"/>
  <c r="T46" i="11"/>
  <c r="O46" i="11"/>
  <c r="J46" i="11"/>
  <c r="E46" i="11"/>
  <c r="AD45" i="11"/>
  <c r="Y45" i="11"/>
  <c r="T45" i="11"/>
  <c r="O45" i="11"/>
  <c r="J45" i="11"/>
  <c r="E45" i="11"/>
  <c r="AD44" i="11"/>
  <c r="Y44" i="11"/>
  <c r="T44" i="11"/>
  <c r="O44" i="11"/>
  <c r="J44" i="11"/>
  <c r="E44" i="11"/>
  <c r="AD43" i="11"/>
  <c r="Y43" i="11"/>
  <c r="T43" i="11"/>
  <c r="O43" i="11"/>
  <c r="J43" i="11"/>
  <c r="E43" i="11"/>
  <c r="AD42" i="11"/>
  <c r="Y42" i="11"/>
  <c r="T42" i="11"/>
  <c r="O42" i="11"/>
  <c r="J42" i="11"/>
  <c r="E42" i="11"/>
  <c r="AD41" i="11"/>
  <c r="Y41" i="11"/>
  <c r="T41" i="11"/>
  <c r="O41" i="11"/>
  <c r="J41" i="11"/>
  <c r="E41" i="11"/>
  <c r="AD40" i="11"/>
  <c r="Y40" i="11"/>
  <c r="T40" i="11"/>
  <c r="O40" i="11"/>
  <c r="J40" i="11"/>
  <c r="E40" i="11"/>
  <c r="AD39" i="11"/>
  <c r="Y39" i="11"/>
  <c r="T39" i="11"/>
  <c r="O39" i="11"/>
  <c r="J39" i="11"/>
  <c r="E39" i="11"/>
  <c r="AD38" i="11"/>
  <c r="Y38" i="11"/>
  <c r="T38" i="11"/>
  <c r="O38" i="11"/>
  <c r="J38" i="11"/>
  <c r="E38" i="11"/>
  <c r="AD37" i="11"/>
  <c r="Y37" i="11"/>
  <c r="T37" i="11"/>
  <c r="O37" i="11"/>
  <c r="J37" i="11"/>
  <c r="E37" i="11"/>
  <c r="AD36" i="11"/>
  <c r="Y36" i="11"/>
  <c r="T36" i="11"/>
  <c r="O36" i="11"/>
  <c r="J36" i="11"/>
  <c r="E36" i="11"/>
  <c r="AD35" i="11"/>
  <c r="Y35" i="11"/>
  <c r="T35" i="11"/>
  <c r="O35" i="11"/>
  <c r="J35" i="11"/>
  <c r="E35" i="11"/>
  <c r="AD34" i="11"/>
  <c r="Y34" i="11"/>
  <c r="T34" i="11"/>
  <c r="O34" i="11"/>
  <c r="J34" i="11"/>
  <c r="E34" i="11"/>
  <c r="AD33" i="11"/>
  <c r="Y33" i="11"/>
  <c r="T33" i="11"/>
  <c r="O33" i="11"/>
  <c r="J33" i="11"/>
  <c r="E33" i="11"/>
  <c r="AD32" i="11"/>
  <c r="Y32" i="11"/>
  <c r="T32" i="11"/>
  <c r="O32" i="11"/>
  <c r="J32" i="11"/>
  <c r="E32" i="11"/>
  <c r="AD31" i="11"/>
  <c r="Y31" i="11"/>
  <c r="T31" i="11"/>
  <c r="O31" i="11"/>
  <c r="J31" i="11"/>
  <c r="E31" i="11"/>
  <c r="AD30" i="11"/>
  <c r="Y30" i="11"/>
  <c r="T30" i="11"/>
  <c r="O30" i="11"/>
  <c r="J30" i="11"/>
  <c r="E30" i="11"/>
  <c r="AD29" i="11"/>
  <c r="Y29" i="11"/>
  <c r="T29" i="11"/>
  <c r="O29" i="11"/>
  <c r="J29" i="11"/>
  <c r="E29" i="11"/>
  <c r="AD28" i="11"/>
  <c r="Y28" i="11"/>
  <c r="T28" i="11"/>
  <c r="O28" i="11"/>
  <c r="J28" i="11"/>
  <c r="E28" i="11"/>
  <c r="AD27" i="11"/>
  <c r="Y27" i="11"/>
  <c r="T27" i="11"/>
  <c r="O27" i="11"/>
  <c r="J27" i="11"/>
  <c r="E27" i="11"/>
  <c r="AC161" i="11"/>
  <c r="X161" i="11"/>
  <c r="S161" i="11"/>
  <c r="N161" i="11"/>
  <c r="I161" i="11"/>
  <c r="D161" i="11"/>
  <c r="AC160" i="11"/>
  <c r="X160" i="11"/>
  <c r="S160" i="11"/>
  <c r="N160" i="11"/>
  <c r="I160" i="11"/>
  <c r="D160" i="11"/>
  <c r="AC159" i="11"/>
  <c r="X159" i="11"/>
  <c r="S159" i="11"/>
  <c r="N159" i="11"/>
  <c r="I159" i="11"/>
  <c r="D159" i="11"/>
  <c r="AC158" i="11"/>
  <c r="X158" i="11"/>
  <c r="S158" i="11"/>
  <c r="N158" i="11"/>
  <c r="I158" i="11"/>
  <c r="D158" i="11"/>
  <c r="AC157" i="11"/>
  <c r="X157" i="11"/>
  <c r="S157" i="11"/>
  <c r="N157" i="11"/>
  <c r="I157" i="11"/>
  <c r="D157" i="11"/>
  <c r="AC156" i="11"/>
  <c r="X156" i="11"/>
  <c r="S156" i="11"/>
  <c r="N156" i="11"/>
  <c r="I156" i="11"/>
  <c r="D156" i="11"/>
  <c r="AC155" i="11"/>
  <c r="X155" i="11"/>
  <c r="S155" i="11"/>
  <c r="N155" i="11"/>
  <c r="I155" i="11"/>
  <c r="D155" i="11"/>
  <c r="AC154" i="11"/>
  <c r="X154" i="11"/>
  <c r="S154" i="11"/>
  <c r="N154" i="11"/>
  <c r="I154" i="11"/>
  <c r="D154" i="11"/>
  <c r="AC153" i="11"/>
  <c r="X153" i="11"/>
  <c r="S153" i="11"/>
  <c r="N153" i="11"/>
  <c r="I153" i="11"/>
  <c r="D153" i="11"/>
  <c r="AC152" i="11"/>
  <c r="X152" i="11"/>
  <c r="S152" i="11"/>
  <c r="N152" i="11"/>
  <c r="I152" i="11"/>
  <c r="D152" i="11"/>
  <c r="AC151" i="11"/>
  <c r="X151" i="11"/>
  <c r="S151" i="11"/>
  <c r="N151" i="11"/>
  <c r="I151" i="11"/>
  <c r="D151" i="11"/>
  <c r="AC150" i="11"/>
  <c r="X150" i="11"/>
  <c r="S150" i="11"/>
  <c r="N150" i="11"/>
  <c r="I150" i="11"/>
  <c r="D150" i="11"/>
  <c r="AC149" i="11"/>
  <c r="X149" i="11"/>
  <c r="S149" i="11"/>
  <c r="N149" i="11"/>
  <c r="I149" i="11"/>
  <c r="D149" i="11"/>
  <c r="AC148" i="11"/>
  <c r="X148" i="11"/>
  <c r="S148" i="11"/>
  <c r="N148" i="11"/>
  <c r="I148" i="11"/>
  <c r="D148" i="11"/>
  <c r="AC147" i="11"/>
  <c r="X147" i="11"/>
  <c r="S147" i="11"/>
  <c r="N147" i="11"/>
  <c r="I147" i="11"/>
  <c r="D147" i="11"/>
  <c r="AC146" i="11"/>
  <c r="X146" i="11"/>
  <c r="S146" i="11"/>
  <c r="N146" i="11"/>
  <c r="I146" i="11"/>
  <c r="D146" i="11"/>
  <c r="AC145" i="11"/>
  <c r="X145" i="11"/>
  <c r="S145" i="11"/>
  <c r="N145" i="11"/>
  <c r="I145" i="11"/>
  <c r="D145" i="11"/>
  <c r="AC144" i="11"/>
  <c r="X144" i="11"/>
  <c r="S144" i="11"/>
  <c r="N144" i="11"/>
  <c r="I144" i="11"/>
  <c r="D144" i="11"/>
  <c r="AC143" i="11"/>
  <c r="X143" i="11"/>
  <c r="S143" i="11"/>
  <c r="N143" i="11"/>
  <c r="I143" i="11"/>
  <c r="D143" i="11"/>
  <c r="AC142" i="11"/>
  <c r="X142" i="11"/>
  <c r="S142" i="11"/>
  <c r="N142" i="11"/>
  <c r="I142" i="11"/>
  <c r="D142" i="11"/>
  <c r="AC141" i="11"/>
  <c r="X141" i="11"/>
  <c r="S141" i="11"/>
  <c r="N141" i="11"/>
  <c r="I141" i="11"/>
  <c r="D141" i="11"/>
  <c r="AC140" i="11"/>
  <c r="X140" i="11"/>
  <c r="S140" i="11"/>
  <c r="N140" i="11"/>
  <c r="I140" i="11"/>
  <c r="D140" i="11"/>
  <c r="AC139" i="11"/>
  <c r="X139" i="11"/>
  <c r="S139" i="11"/>
  <c r="N139" i="11"/>
  <c r="I139" i="11"/>
  <c r="D139" i="11"/>
  <c r="AC138" i="11"/>
  <c r="X138" i="11"/>
  <c r="S138" i="11"/>
  <c r="N138" i="11"/>
  <c r="I138" i="11"/>
  <c r="D138" i="11"/>
  <c r="AC137" i="11"/>
  <c r="X137" i="11"/>
  <c r="S137" i="11"/>
  <c r="N137" i="11"/>
  <c r="I137" i="11"/>
  <c r="D137" i="11"/>
  <c r="AC136" i="11"/>
  <c r="X136" i="11"/>
  <c r="S136" i="11"/>
  <c r="N136" i="11"/>
  <c r="I136" i="11"/>
  <c r="D136" i="11"/>
  <c r="AC135" i="11"/>
  <c r="X135" i="11"/>
  <c r="S135" i="11"/>
  <c r="N135" i="11"/>
  <c r="I135" i="11"/>
  <c r="D135" i="11"/>
  <c r="AC134" i="11"/>
  <c r="X134" i="11"/>
  <c r="S134" i="11"/>
  <c r="N134" i="11"/>
  <c r="I134" i="11"/>
  <c r="D134" i="11"/>
  <c r="AC133" i="11"/>
  <c r="X133" i="11"/>
  <c r="S133" i="11"/>
  <c r="N133" i="11"/>
  <c r="I133" i="11"/>
  <c r="D133" i="11"/>
  <c r="AC132" i="11"/>
  <c r="X132" i="11"/>
  <c r="S132" i="11"/>
  <c r="N132" i="11"/>
  <c r="I132" i="11"/>
  <c r="D132" i="11"/>
  <c r="AC131" i="11"/>
  <c r="X131" i="11"/>
  <c r="S131" i="11"/>
  <c r="N131" i="11"/>
  <c r="I131" i="11"/>
  <c r="D131" i="11"/>
  <c r="AC127" i="11"/>
  <c r="X127" i="11"/>
  <c r="S127" i="11"/>
  <c r="N127" i="11"/>
  <c r="I127" i="11"/>
  <c r="D127" i="11"/>
  <c r="AC126" i="11"/>
  <c r="X126" i="11"/>
  <c r="S126" i="11"/>
  <c r="N126" i="11"/>
  <c r="I126" i="11"/>
  <c r="D126" i="11"/>
  <c r="AC125" i="11"/>
  <c r="X125" i="11"/>
  <c r="S125" i="11"/>
  <c r="N125" i="11"/>
  <c r="I125" i="11"/>
  <c r="D125" i="11"/>
  <c r="AC124" i="11"/>
  <c r="X124" i="11"/>
  <c r="S124" i="11"/>
  <c r="N124" i="11"/>
  <c r="I124" i="11"/>
  <c r="D124" i="11"/>
  <c r="AC123" i="11"/>
  <c r="X123" i="11"/>
  <c r="S123" i="11"/>
  <c r="N123" i="11"/>
  <c r="I123" i="11"/>
  <c r="D123" i="11"/>
  <c r="AC122" i="11"/>
  <c r="X122" i="11"/>
  <c r="S122" i="11"/>
  <c r="N122" i="11"/>
  <c r="I122" i="11"/>
  <c r="D122" i="11"/>
  <c r="AC121" i="11"/>
  <c r="X121" i="11"/>
  <c r="S121" i="11"/>
  <c r="N121" i="11"/>
  <c r="I121" i="11"/>
  <c r="D121" i="11"/>
  <c r="AC120" i="11"/>
  <c r="X120" i="11"/>
  <c r="S120" i="11"/>
  <c r="N120" i="11"/>
  <c r="I120" i="11"/>
  <c r="D120" i="11"/>
  <c r="AC119" i="11"/>
  <c r="X119" i="11"/>
  <c r="S119" i="11"/>
  <c r="N119" i="11"/>
  <c r="I119" i="11"/>
  <c r="D119" i="11"/>
  <c r="AC118" i="11"/>
  <c r="X118" i="11"/>
  <c r="S118" i="11"/>
  <c r="N118" i="11"/>
  <c r="I118" i="11"/>
  <c r="D118" i="11"/>
  <c r="AC117" i="11"/>
  <c r="X117" i="11"/>
  <c r="S117" i="11"/>
  <c r="N117" i="11"/>
  <c r="I117" i="11"/>
  <c r="D117" i="11"/>
  <c r="AC116" i="11"/>
  <c r="X116" i="11"/>
  <c r="S116" i="11"/>
  <c r="N116" i="11"/>
  <c r="I116" i="11"/>
  <c r="D116" i="11"/>
  <c r="AC115" i="11"/>
  <c r="X115" i="11"/>
  <c r="S115" i="11"/>
  <c r="N115" i="11"/>
  <c r="I115" i="11"/>
  <c r="D115" i="11"/>
  <c r="AC114" i="11"/>
  <c r="X114" i="11"/>
  <c r="S114" i="11"/>
  <c r="N114" i="11"/>
  <c r="I114" i="11"/>
  <c r="D114" i="11"/>
  <c r="AC113" i="11"/>
  <c r="X113" i="11"/>
  <c r="S113" i="11"/>
  <c r="N113" i="11"/>
  <c r="I113" i="11"/>
  <c r="D113" i="11"/>
  <c r="AC112" i="11"/>
  <c r="X112" i="11"/>
  <c r="S112" i="11"/>
  <c r="N112" i="11"/>
  <c r="I112" i="11"/>
  <c r="D112" i="11"/>
  <c r="AC111" i="11"/>
  <c r="X111" i="11"/>
  <c r="S111" i="11"/>
  <c r="N111" i="11"/>
  <c r="I111" i="11"/>
  <c r="D111" i="11"/>
  <c r="AC110" i="11"/>
  <c r="X110" i="11"/>
  <c r="S110" i="11"/>
  <c r="N110" i="11"/>
  <c r="I110" i="11"/>
  <c r="D110" i="11"/>
  <c r="AC109" i="11"/>
  <c r="X109" i="11"/>
  <c r="S109" i="11"/>
  <c r="N109" i="11"/>
  <c r="I109" i="11"/>
  <c r="D109" i="11"/>
  <c r="AC108" i="11"/>
  <c r="X108" i="11"/>
  <c r="S108" i="11"/>
  <c r="N108" i="11"/>
  <c r="I108" i="11"/>
  <c r="D108" i="11"/>
  <c r="AC107" i="11"/>
  <c r="X107" i="11"/>
  <c r="S107" i="11"/>
  <c r="N107" i="11"/>
  <c r="I107" i="11"/>
  <c r="D107" i="11"/>
  <c r="AC106" i="11"/>
  <c r="X106" i="11"/>
  <c r="S106" i="11"/>
  <c r="N106" i="11"/>
  <c r="I106" i="11"/>
  <c r="D106" i="11"/>
  <c r="AC105" i="11"/>
  <c r="X105" i="11"/>
  <c r="S105" i="11"/>
  <c r="N105" i="11"/>
  <c r="I105" i="11"/>
  <c r="D105" i="11"/>
  <c r="AC104" i="11"/>
  <c r="X104" i="11"/>
  <c r="S104" i="11"/>
  <c r="N104" i="11"/>
  <c r="I104" i="11"/>
  <c r="D104" i="11"/>
  <c r="AC103" i="11"/>
  <c r="X103" i="11"/>
  <c r="S103" i="11"/>
  <c r="N103" i="11"/>
  <c r="I103" i="11"/>
  <c r="D103" i="11"/>
  <c r="AC102" i="11"/>
  <c r="X102" i="11"/>
  <c r="S102" i="11"/>
  <c r="N102" i="11"/>
  <c r="I102" i="11"/>
  <c r="D102" i="11"/>
  <c r="AC101" i="11"/>
  <c r="X101" i="11"/>
  <c r="S101" i="11"/>
  <c r="N101" i="11"/>
  <c r="I101" i="11"/>
  <c r="D101" i="11"/>
  <c r="AC100" i="11"/>
  <c r="X100" i="11"/>
  <c r="S100" i="11"/>
  <c r="N100" i="11"/>
  <c r="I100" i="11"/>
  <c r="D100" i="11"/>
  <c r="AC99" i="11"/>
  <c r="X99" i="11"/>
  <c r="S99" i="11"/>
  <c r="N99" i="11"/>
  <c r="I99" i="11"/>
  <c r="D99" i="11"/>
  <c r="AC98" i="11"/>
  <c r="X98" i="11"/>
  <c r="S98" i="11"/>
  <c r="N98" i="11"/>
  <c r="I98" i="11"/>
  <c r="D98" i="11"/>
  <c r="AC97" i="11"/>
  <c r="X97" i="11"/>
  <c r="S97" i="11"/>
  <c r="N97" i="11"/>
  <c r="I97" i="11"/>
  <c r="D97" i="11"/>
  <c r="AC91" i="11"/>
  <c r="X91" i="11"/>
  <c r="S91" i="11"/>
  <c r="N91" i="11"/>
  <c r="I91" i="11"/>
  <c r="D91" i="11"/>
  <c r="AC90" i="11"/>
  <c r="X90" i="11"/>
  <c r="S90" i="11"/>
  <c r="N90" i="11"/>
  <c r="I90" i="11"/>
  <c r="D90" i="11"/>
  <c r="AC89" i="11"/>
  <c r="X89" i="11"/>
  <c r="S89" i="11"/>
  <c r="N89" i="11"/>
  <c r="I89" i="11"/>
  <c r="D89" i="11"/>
  <c r="AC88" i="11"/>
  <c r="X88" i="11"/>
  <c r="S88" i="11"/>
  <c r="N88" i="11"/>
  <c r="I88" i="11"/>
  <c r="D88" i="11"/>
  <c r="AC87" i="11"/>
  <c r="X87" i="11"/>
  <c r="S87" i="11"/>
  <c r="N87" i="11"/>
  <c r="I87" i="11"/>
  <c r="D87" i="11"/>
  <c r="AC86" i="11"/>
  <c r="X86" i="11"/>
  <c r="S86" i="11"/>
  <c r="N86" i="11"/>
  <c r="I86" i="11"/>
  <c r="D86" i="11"/>
  <c r="AC85" i="11"/>
  <c r="X85" i="11"/>
  <c r="S85" i="11"/>
  <c r="N85" i="11"/>
  <c r="I85" i="11"/>
  <c r="D85" i="11"/>
  <c r="AC84" i="11"/>
  <c r="X84" i="11"/>
  <c r="S84" i="11"/>
  <c r="N84" i="11"/>
  <c r="I84" i="11"/>
  <c r="D84" i="11"/>
  <c r="AC83" i="11"/>
  <c r="X83" i="11"/>
  <c r="S83" i="11"/>
  <c r="N83" i="11"/>
  <c r="I83" i="11"/>
  <c r="D83" i="11"/>
  <c r="AC82" i="11"/>
  <c r="X82" i="11"/>
  <c r="S82" i="11"/>
  <c r="N82" i="11"/>
  <c r="I82" i="11"/>
  <c r="D82" i="11"/>
  <c r="AC81" i="11"/>
  <c r="X81" i="11"/>
  <c r="S81" i="11"/>
  <c r="N81" i="11"/>
  <c r="I81" i="11"/>
  <c r="D81" i="11"/>
  <c r="AC80" i="11"/>
  <c r="X80" i="11"/>
  <c r="S80" i="11"/>
  <c r="N80" i="11"/>
  <c r="I80" i="11"/>
  <c r="D80" i="11"/>
  <c r="AC79" i="11"/>
  <c r="X79" i="11"/>
  <c r="S79" i="11"/>
  <c r="N79" i="11"/>
  <c r="I79" i="11"/>
  <c r="D79" i="11"/>
  <c r="AC78" i="11"/>
  <c r="X78" i="11"/>
  <c r="S78" i="11"/>
  <c r="N78" i="11"/>
  <c r="I78" i="11"/>
  <c r="D78" i="11"/>
  <c r="AC77" i="11"/>
  <c r="X77" i="11"/>
  <c r="S77" i="11"/>
  <c r="N77" i="11"/>
  <c r="I77" i="11"/>
  <c r="D77" i="11"/>
  <c r="AC76" i="11"/>
  <c r="X76" i="11"/>
  <c r="S76" i="11"/>
  <c r="N76" i="11"/>
  <c r="I76" i="11"/>
  <c r="D76" i="11"/>
  <c r="AC75" i="11"/>
  <c r="X75" i="11"/>
  <c r="S75" i="11"/>
  <c r="N75" i="11"/>
  <c r="I75" i="11"/>
  <c r="D75" i="11"/>
  <c r="AC74" i="11"/>
  <c r="X74" i="11"/>
  <c r="S74" i="11"/>
  <c r="N74" i="11"/>
  <c r="I74" i="11"/>
  <c r="D74" i="11"/>
  <c r="AC73" i="11"/>
  <c r="X73" i="11"/>
  <c r="S73" i="11"/>
  <c r="N73" i="11"/>
  <c r="I73" i="11"/>
  <c r="D73" i="11"/>
  <c r="AC72" i="11"/>
  <c r="X72" i="11"/>
  <c r="S72" i="11"/>
  <c r="N72" i="11"/>
  <c r="I72" i="11"/>
  <c r="D72" i="11"/>
  <c r="AC71" i="11"/>
  <c r="X71" i="11"/>
  <c r="S71" i="11"/>
  <c r="N71" i="11"/>
  <c r="I71" i="11"/>
  <c r="D71" i="11"/>
  <c r="AC70" i="11"/>
  <c r="X70" i="11"/>
  <c r="S70" i="11"/>
  <c r="N70" i="11"/>
  <c r="I70" i="11"/>
  <c r="D70" i="11"/>
  <c r="AC69" i="11"/>
  <c r="X69" i="11"/>
  <c r="S69" i="11"/>
  <c r="N69" i="11"/>
  <c r="I69" i="11"/>
  <c r="D69" i="11"/>
  <c r="AC68" i="11"/>
  <c r="X68" i="11"/>
  <c r="S68" i="11"/>
  <c r="N68" i="11"/>
  <c r="I68" i="11"/>
  <c r="D68" i="11"/>
  <c r="AC67" i="11"/>
  <c r="X67" i="11"/>
  <c r="S67" i="11"/>
  <c r="N67" i="11"/>
  <c r="I67" i="11"/>
  <c r="D67" i="11"/>
  <c r="AC66" i="11"/>
  <c r="X66" i="11"/>
  <c r="S66" i="11"/>
  <c r="N66" i="11"/>
  <c r="I66" i="11"/>
  <c r="D66" i="11"/>
  <c r="AC65" i="11"/>
  <c r="X65" i="11"/>
  <c r="S65" i="11"/>
  <c r="N65" i="11"/>
  <c r="I65" i="11"/>
  <c r="D65" i="11"/>
  <c r="AC64" i="11"/>
  <c r="X64" i="11"/>
  <c r="S64" i="11"/>
  <c r="N64" i="11"/>
  <c r="I64" i="11"/>
  <c r="D64" i="11"/>
  <c r="AC63" i="11"/>
  <c r="X63" i="11"/>
  <c r="S63" i="11"/>
  <c r="N63" i="11"/>
  <c r="I63" i="11"/>
  <c r="D63" i="11"/>
  <c r="AC62" i="11"/>
  <c r="X62" i="11"/>
  <c r="S62" i="11"/>
  <c r="N62" i="11"/>
  <c r="I62" i="11"/>
  <c r="D62" i="11"/>
  <c r="AC61" i="11"/>
  <c r="X61" i="11"/>
  <c r="S61" i="11"/>
  <c r="N61" i="11"/>
  <c r="I61" i="11"/>
  <c r="D61" i="11"/>
  <c r="AC57" i="11"/>
  <c r="X57" i="11"/>
  <c r="S57" i="11"/>
  <c r="N57" i="11"/>
  <c r="I57" i="11"/>
  <c r="D57" i="11"/>
  <c r="AC56" i="11"/>
  <c r="X56" i="11"/>
  <c r="S56" i="11"/>
  <c r="N56" i="11"/>
  <c r="I56" i="11"/>
  <c r="D56" i="11"/>
  <c r="AC55" i="11"/>
  <c r="X55" i="11"/>
  <c r="S55" i="11"/>
  <c r="N55" i="11"/>
  <c r="I55" i="11"/>
  <c r="D55" i="11"/>
  <c r="AC54" i="11"/>
  <c r="X54" i="11"/>
  <c r="S54" i="11"/>
  <c r="N54" i="11"/>
  <c r="I54" i="11"/>
  <c r="D54" i="11"/>
  <c r="AC53" i="11"/>
  <c r="X53" i="11"/>
  <c r="S53" i="11"/>
  <c r="N53" i="11"/>
  <c r="I53" i="11"/>
  <c r="D53" i="11"/>
  <c r="AC52" i="11"/>
  <c r="X52" i="11"/>
  <c r="S52" i="11"/>
  <c r="N52" i="11"/>
  <c r="I52" i="11"/>
  <c r="D52" i="11"/>
  <c r="AC51" i="11"/>
  <c r="X51" i="11"/>
  <c r="S51" i="11"/>
  <c r="N51" i="11"/>
  <c r="I51" i="11"/>
  <c r="D51" i="11"/>
  <c r="AC50" i="11"/>
  <c r="X50" i="11"/>
  <c r="S50" i="11"/>
  <c r="N50" i="11"/>
  <c r="I50" i="11"/>
  <c r="D50" i="11"/>
  <c r="AC49" i="11"/>
  <c r="X49" i="11"/>
  <c r="S49" i="11"/>
  <c r="N49" i="11"/>
  <c r="I49" i="11"/>
  <c r="D49" i="11"/>
  <c r="AC48" i="11"/>
  <c r="X48" i="11"/>
  <c r="S48" i="11"/>
  <c r="N48" i="11"/>
  <c r="I48" i="11"/>
  <c r="D48" i="11"/>
  <c r="AC47" i="11"/>
  <c r="X47" i="11"/>
  <c r="S47" i="11"/>
  <c r="N47" i="11"/>
  <c r="I47" i="11"/>
  <c r="D47" i="11"/>
  <c r="AC46" i="11"/>
  <c r="X46" i="11"/>
  <c r="S46" i="11"/>
  <c r="N46" i="11"/>
  <c r="I46" i="11"/>
  <c r="D46" i="11"/>
  <c r="AC45" i="11"/>
  <c r="X45" i="11"/>
  <c r="S45" i="11"/>
  <c r="N45" i="11"/>
  <c r="I45" i="11"/>
  <c r="D45" i="11"/>
  <c r="AC44" i="11"/>
  <c r="X44" i="11"/>
  <c r="S44" i="11"/>
  <c r="N44" i="11"/>
  <c r="I44" i="11"/>
  <c r="D44" i="11"/>
  <c r="AC43" i="11"/>
  <c r="X43" i="11"/>
  <c r="S43" i="11"/>
  <c r="N43" i="11"/>
  <c r="I43" i="11"/>
  <c r="D43" i="11"/>
  <c r="AC42" i="11"/>
  <c r="X42" i="11"/>
  <c r="S42" i="11"/>
  <c r="N42" i="11"/>
  <c r="I42" i="11"/>
  <c r="D42" i="11"/>
  <c r="AC41" i="11"/>
  <c r="X41" i="11"/>
  <c r="S41" i="11"/>
  <c r="N41" i="11"/>
  <c r="I41" i="11"/>
  <c r="D41" i="11"/>
  <c r="AC40" i="11"/>
  <c r="X40" i="11"/>
  <c r="S40" i="11"/>
  <c r="N40" i="11"/>
  <c r="I40" i="11"/>
  <c r="D40" i="11"/>
  <c r="AC39" i="11"/>
  <c r="X39" i="11"/>
  <c r="S39" i="11"/>
  <c r="N39" i="11"/>
  <c r="I39" i="11"/>
  <c r="D39" i="11"/>
  <c r="AC38" i="11"/>
  <c r="X38" i="11"/>
  <c r="S38" i="11"/>
  <c r="N38" i="11"/>
  <c r="I38" i="11"/>
  <c r="D38" i="11"/>
  <c r="AC37" i="11"/>
  <c r="X37" i="11"/>
  <c r="S37" i="11"/>
  <c r="N37" i="11"/>
  <c r="I37" i="11"/>
  <c r="D37" i="11"/>
  <c r="AC36" i="11"/>
  <c r="X36" i="11"/>
  <c r="S36" i="11"/>
  <c r="N36" i="11"/>
  <c r="I36" i="11"/>
  <c r="D36" i="11"/>
  <c r="AC35" i="11"/>
  <c r="X35" i="11"/>
  <c r="S35" i="11"/>
  <c r="N35" i="11"/>
  <c r="I35" i="11"/>
  <c r="D35" i="11"/>
  <c r="AC34" i="11"/>
  <c r="X34" i="11"/>
  <c r="S34" i="11"/>
  <c r="N34" i="11"/>
  <c r="I34" i="11"/>
  <c r="D34" i="11"/>
  <c r="AC33" i="11"/>
  <c r="X33" i="11"/>
  <c r="S33" i="11"/>
  <c r="N33" i="11"/>
  <c r="I33" i="11"/>
  <c r="D33" i="11"/>
  <c r="AC32" i="11"/>
  <c r="X32" i="11"/>
  <c r="S32" i="11"/>
  <c r="N32" i="11"/>
  <c r="I32" i="11"/>
  <c r="D32" i="11"/>
  <c r="AC31" i="11"/>
  <c r="X31" i="11"/>
  <c r="S31" i="11"/>
  <c r="N31" i="11"/>
  <c r="I31" i="11"/>
  <c r="D31" i="11"/>
  <c r="AC30" i="11"/>
  <c r="X30" i="11"/>
  <c r="S30" i="11"/>
  <c r="N30" i="11"/>
  <c r="I30" i="11"/>
  <c r="D30" i="11"/>
  <c r="AC29" i="11"/>
  <c r="X29" i="11"/>
  <c r="S29" i="11"/>
  <c r="N29" i="11"/>
  <c r="I29" i="11"/>
  <c r="D29" i="11"/>
  <c r="AC28" i="11"/>
  <c r="X28" i="11"/>
  <c r="S28" i="11"/>
  <c r="N28" i="11"/>
  <c r="I28" i="11"/>
  <c r="D28" i="11"/>
  <c r="AC27" i="11"/>
  <c r="X27" i="11"/>
  <c r="S27" i="11"/>
  <c r="N27" i="11"/>
  <c r="I27" i="11"/>
  <c r="D27" i="11"/>
  <c r="AB162" i="11"/>
  <c r="W162" i="11"/>
  <c r="R162" i="11"/>
  <c r="M162" i="11"/>
  <c r="H162" i="11"/>
  <c r="C162" i="11"/>
  <c r="AB128" i="11"/>
  <c r="W128" i="11"/>
  <c r="R128" i="11"/>
  <c r="M128" i="11"/>
  <c r="H128" i="11"/>
  <c r="C128" i="11"/>
  <c r="S128" i="11"/>
  <c r="AB92" i="11"/>
  <c r="W92" i="11"/>
  <c r="R92" i="11"/>
  <c r="M92" i="11"/>
  <c r="H92" i="11"/>
  <c r="C92" i="11"/>
  <c r="AB58" i="11"/>
  <c r="W58" i="11"/>
  <c r="R58" i="11"/>
  <c r="M58" i="11"/>
  <c r="H58" i="11"/>
  <c r="C58" i="11"/>
  <c r="S58" i="11"/>
  <c r="O73" i="42" l="1"/>
  <c r="O72" i="42"/>
  <c r="C73" i="42"/>
  <c r="E74" i="42"/>
  <c r="K92" i="11"/>
  <c r="AE58" i="11"/>
  <c r="O128" i="11"/>
  <c r="Y92" i="11"/>
  <c r="G21" i="11"/>
  <c r="T58" i="11"/>
  <c r="N92" i="11"/>
  <c r="Z92" i="11"/>
  <c r="T128" i="11"/>
  <c r="J162" i="11"/>
  <c r="X162" i="11"/>
  <c r="I58" i="11"/>
  <c r="U58" i="11"/>
  <c r="O92" i="11"/>
  <c r="AC92" i="11"/>
  <c r="I128" i="11"/>
  <c r="U128" i="11"/>
  <c r="N162" i="11"/>
  <c r="Z162" i="11"/>
  <c r="J58" i="11"/>
  <c r="X58" i="11"/>
  <c r="G22" i="11"/>
  <c r="D92" i="11"/>
  <c r="P92" i="11"/>
  <c r="J128" i="11"/>
  <c r="X128" i="11"/>
  <c r="O162" i="11"/>
  <c r="AC162" i="11"/>
  <c r="K58" i="11"/>
  <c r="S92" i="11"/>
  <c r="AE92" i="11"/>
  <c r="K128" i="11"/>
  <c r="D162" i="11"/>
  <c r="P162" i="11"/>
  <c r="AD162" i="11"/>
  <c r="N58" i="11"/>
  <c r="T92" i="11"/>
  <c r="AD92" i="11"/>
  <c r="J92" i="11"/>
  <c r="N128" i="11"/>
  <c r="S162" i="11"/>
  <c r="AE162" i="11"/>
  <c r="Y162" i="11"/>
  <c r="O58" i="11"/>
  <c r="AC58" i="11"/>
  <c r="I92" i="11"/>
  <c r="U92" i="11"/>
  <c r="AC128" i="11"/>
  <c r="T162" i="11"/>
  <c r="D58" i="11"/>
  <c r="P58" i="11"/>
  <c r="AD58" i="11"/>
  <c r="G23" i="11"/>
  <c r="X92" i="11"/>
  <c r="D128" i="11"/>
  <c r="P128" i="11"/>
  <c r="AD128" i="11"/>
  <c r="I162" i="11"/>
  <c r="U162" i="11"/>
  <c r="J23" i="11" l="1"/>
  <c r="Q123" i="42" a="1"/>
  <c r="Q123" i="42" l="1"/>
  <c r="M7" i="11"/>
  <c r="G15" i="11"/>
  <c r="F15" i="11"/>
  <c r="E15" i="11"/>
  <c r="D15" i="11"/>
  <c r="N23" i="42" l="1"/>
  <c r="C80" i="44" l="1"/>
  <c r="C79" i="44"/>
  <c r="C77" i="44"/>
  <c r="C76" i="44"/>
  <c r="C67" i="44"/>
  <c r="C66" i="44"/>
  <c r="C63" i="44"/>
  <c r="C62" i="44"/>
  <c r="E58" i="44"/>
  <c r="E67" i="44" s="1"/>
  <c r="D11" i="44"/>
  <c r="C56" i="44" s="1"/>
  <c r="C65" i="44" s="1"/>
  <c r="C61" i="44" l="1"/>
  <c r="D107" i="44"/>
  <c r="D120" i="44"/>
  <c r="Q124" i="42" l="1"/>
  <c r="K124" i="42"/>
  <c r="D124" i="42"/>
  <c r="D113" i="42"/>
  <c r="P113" i="42" s="1"/>
  <c r="R113" i="42" s="1"/>
  <c r="G111" i="42"/>
  <c r="J111" i="42" s="1"/>
  <c r="D111" i="42"/>
  <c r="M95" i="42"/>
  <c r="O95" i="42" s="1"/>
  <c r="K95" i="42"/>
  <c r="K96" i="42" s="1"/>
  <c r="B82" i="42"/>
  <c r="B81" i="42"/>
  <c r="B80" i="42"/>
  <c r="G72" i="42"/>
  <c r="G71" i="42"/>
  <c r="B65" i="42"/>
  <c r="C63" i="42"/>
  <c r="C82" i="42" s="1"/>
  <c r="C62" i="42"/>
  <c r="C81" i="42" s="1"/>
  <c r="D61" i="42"/>
  <c r="C61" i="42"/>
  <c r="C80" i="42" s="1"/>
  <c r="B56" i="42"/>
  <c r="C54" i="42"/>
  <c r="D53" i="42"/>
  <c r="C53" i="42"/>
  <c r="C52" i="42"/>
  <c r="N24" i="42"/>
  <c r="K71" i="42" s="1"/>
  <c r="I24" i="42"/>
  <c r="U24" i="42"/>
  <c r="L71" i="42" s="1"/>
  <c r="N71" i="42" s="1"/>
  <c r="O71" i="42" s="1"/>
  <c r="S71" i="42" s="1"/>
  <c r="L15" i="42"/>
  <c r="D62" i="42" l="1"/>
  <c r="D54" i="42"/>
  <c r="N113" i="42"/>
  <c r="N114" i="42" s="1"/>
  <c r="D63" i="42" l="1"/>
  <c r="D8" i="11" l="1"/>
  <c r="D12" i="11" l="1"/>
  <c r="E12" i="11"/>
  <c r="F12" i="11"/>
  <c r="G12" i="11"/>
  <c r="E8" i="11" l="1"/>
  <c r="F8" i="11"/>
  <c r="G8" i="11"/>
  <c r="E7" i="11"/>
  <c r="F7" i="11"/>
  <c r="G7" i="11"/>
  <c r="D7" i="11"/>
  <c r="E7" i="7" l="1"/>
  <c r="F7" i="7"/>
  <c r="G7" i="7"/>
  <c r="D7" i="7"/>
  <c r="E6" i="7"/>
  <c r="F6" i="7"/>
  <c r="G6" i="7"/>
  <c r="D6" i="7"/>
  <c r="E7" i="5"/>
  <c r="D8" i="65" s="1"/>
  <c r="F7" i="5"/>
  <c r="D8" i="66" s="1"/>
  <c r="G7" i="5"/>
  <c r="D8" i="67" s="1"/>
  <c r="D8" i="56"/>
  <c r="D8" i="57"/>
  <c r="D7" i="5"/>
  <c r="E6" i="5"/>
  <c r="F6" i="5"/>
  <c r="D7" i="66" s="1"/>
  <c r="G6" i="5"/>
  <c r="D7" i="67" s="1"/>
  <c r="D6" i="5"/>
  <c r="D11" i="7"/>
  <c r="E11" i="7"/>
  <c r="F11" i="7"/>
  <c r="G11" i="7"/>
  <c r="K11" i="67" l="1"/>
  <c r="F34" i="70"/>
  <c r="F34" i="71"/>
  <c r="F34" i="69"/>
  <c r="C4" i="69"/>
  <c r="C4" i="71"/>
  <c r="C4" i="70"/>
  <c r="D7" i="65"/>
  <c r="K11" i="66"/>
  <c r="C4" i="42"/>
  <c r="D7" i="57"/>
  <c r="D7" i="56"/>
  <c r="D8" i="44"/>
  <c r="D7" i="44"/>
  <c r="K11" i="65" l="1"/>
  <c r="K11" i="57"/>
  <c r="K11" i="56"/>
  <c r="K11" i="44"/>
  <c r="H11" i="7" l="1"/>
  <c r="O75" i="42" l="1"/>
  <c r="S72" i="42"/>
  <c r="T72" i="42"/>
  <c r="E73" i="42"/>
  <c r="U72" i="42" l="1"/>
  <c r="D81" i="42" l="1"/>
  <c r="E120" i="56" l="1"/>
  <c r="E117" i="56"/>
  <c r="E107" i="56"/>
  <c r="E104" i="56"/>
  <c r="E110" i="56" l="1"/>
  <c r="E123" i="56"/>
  <c r="D35" i="56" l="1"/>
  <c r="D23" i="56"/>
  <c r="D37" i="56" l="1"/>
  <c r="D25" i="56"/>
  <c r="D36" i="56"/>
  <c r="D24" i="56" l="1"/>
  <c r="D22" i="56" l="1"/>
  <c r="E120" i="57" l="1"/>
  <c r="E117" i="57"/>
  <c r="E107" i="57"/>
  <c r="E104" i="57"/>
  <c r="E123" i="57" l="1"/>
  <c r="E110" i="57"/>
  <c r="D36" i="57" l="1"/>
  <c r="D24" i="57" l="1"/>
  <c r="D35" i="57"/>
  <c r="D37" i="57" l="1"/>
  <c r="D23" i="57" l="1"/>
  <c r="D22" i="57"/>
  <c r="D25" i="57"/>
  <c r="D9" i="56" l="1"/>
  <c r="D9" i="57"/>
  <c r="D32" i="56" l="1"/>
  <c r="D32" i="57"/>
  <c r="D33" i="56" l="1"/>
  <c r="D33" i="57"/>
  <c r="D39" i="57"/>
  <c r="D40" i="56"/>
  <c r="D39" i="56"/>
  <c r="D12" i="56" l="1"/>
  <c r="D38" i="57"/>
  <c r="D41" i="57"/>
  <c r="D34" i="57"/>
  <c r="D38" i="56"/>
  <c r="D40" i="57"/>
  <c r="D34" i="56"/>
  <c r="D41" i="56"/>
  <c r="E62" i="56" l="1"/>
  <c r="E76" i="56"/>
  <c r="D43" i="57"/>
  <c r="E84" i="57" s="1"/>
  <c r="D12" i="57"/>
  <c r="E62" i="57"/>
  <c r="E76" i="57"/>
  <c r="D43" i="56" l="1"/>
  <c r="E84" i="56" s="1"/>
  <c r="D28" i="56"/>
  <c r="D45" i="56"/>
  <c r="E85" i="57"/>
  <c r="D27" i="56" l="1"/>
  <c r="D19" i="57"/>
  <c r="D28" i="57"/>
  <c r="D45" i="57"/>
  <c r="D26" i="56"/>
  <c r="E61" i="56" s="1"/>
  <c r="D19" i="56"/>
  <c r="E85" i="56"/>
  <c r="D20" i="57" l="1"/>
  <c r="D21" i="57"/>
  <c r="D20" i="56"/>
  <c r="D21" i="56"/>
  <c r="D27" i="57"/>
  <c r="F104" i="57"/>
  <c r="D26" i="57"/>
  <c r="E61" i="57" s="1"/>
  <c r="F104" i="56"/>
  <c r="D29" i="56" l="1"/>
  <c r="D13" i="56"/>
  <c r="D13" i="57"/>
  <c r="D29" i="57"/>
  <c r="D15" i="56" l="1"/>
  <c r="D17" i="57"/>
  <c r="D17" i="56"/>
  <c r="D14" i="56"/>
  <c r="D18" i="56"/>
  <c r="D16" i="56"/>
  <c r="D16" i="57"/>
  <c r="D14" i="57"/>
  <c r="D18" i="57"/>
  <c r="D15" i="57"/>
  <c r="D30" i="56" l="1"/>
  <c r="D46" i="56"/>
  <c r="D46" i="57"/>
  <c r="D30" i="57"/>
  <c r="E136" i="57" l="1"/>
  <c r="L90" i="57" l="1"/>
  <c r="E75" i="57"/>
  <c r="E77" i="57" l="1"/>
  <c r="E78" i="57"/>
  <c r="E79" i="57" s="1"/>
  <c r="E80" i="57" l="1"/>
  <c r="E136" i="56" l="1"/>
  <c r="L90" i="56" l="1"/>
  <c r="E75" i="56"/>
  <c r="E146" i="56" l="1"/>
  <c r="E77" i="56"/>
  <c r="E78" i="56"/>
  <c r="E79" i="56" s="1"/>
  <c r="E80" i="56" l="1"/>
  <c r="E56" i="56" l="1"/>
  <c r="N83" i="56"/>
  <c r="N87" i="56"/>
  <c r="E60" i="56" s="1"/>
  <c r="E69" i="56" s="1"/>
  <c r="E65" i="56" l="1"/>
  <c r="E57" i="56" l="1"/>
  <c r="N84" i="56"/>
  <c r="N86" i="56" s="1"/>
  <c r="J86" i="56"/>
  <c r="F107" i="56"/>
  <c r="F110" i="56" s="1"/>
  <c r="L86" i="56"/>
  <c r="M86" i="56"/>
  <c r="F146" i="56"/>
  <c r="K86" i="56"/>
  <c r="E66" i="56" l="1"/>
  <c r="E59" i="56"/>
  <c r="E70" i="56"/>
  <c r="E64" i="56" l="1"/>
  <c r="E71" i="56"/>
  <c r="E68" i="56"/>
  <c r="E88" i="56" l="1"/>
  <c r="E72" i="56"/>
  <c r="I58" i="56" l="1"/>
  <c r="J58" i="56" s="1"/>
  <c r="I69" i="56"/>
  <c r="J69" i="56" s="1"/>
  <c r="I70" i="56"/>
  <c r="J70" i="56" s="1"/>
  <c r="I57" i="56"/>
  <c r="J57" i="56" s="1"/>
  <c r="I60" i="56"/>
  <c r="J60" i="56" s="1"/>
  <c r="I68" i="56"/>
  <c r="J68" i="56" s="1"/>
  <c r="I61" i="56"/>
  <c r="J61" i="56" s="1"/>
  <c r="I71" i="56"/>
  <c r="J71" i="56" s="1"/>
  <c r="I65" i="56"/>
  <c r="J65" i="56" s="1"/>
  <c r="I62" i="56"/>
  <c r="J62" i="56" s="1"/>
  <c r="I67" i="56"/>
  <c r="J67" i="56" s="1"/>
  <c r="I64" i="56"/>
  <c r="J64" i="56" s="1"/>
  <c r="I59" i="56"/>
  <c r="J59" i="56" s="1"/>
  <c r="E89" i="56"/>
  <c r="I66" i="56"/>
  <c r="J66" i="56" s="1"/>
  <c r="I63" i="56"/>
  <c r="J63" i="56" s="1"/>
  <c r="J72" i="56" l="1"/>
  <c r="E90" i="56" l="1"/>
  <c r="E56" i="57" l="1"/>
  <c r="N83" i="57"/>
  <c r="N87" i="57"/>
  <c r="E60" i="57" s="1"/>
  <c r="E69" i="57" s="1"/>
  <c r="E146" i="57"/>
  <c r="E65" i="57" l="1"/>
  <c r="N84" i="57" l="1"/>
  <c r="N86" i="57" s="1"/>
  <c r="E57" i="57"/>
  <c r="J86" i="57"/>
  <c r="K86" i="57"/>
  <c r="L86" i="57"/>
  <c r="F107" i="57"/>
  <c r="F110" i="57" s="1"/>
  <c r="M86" i="57"/>
  <c r="F146" i="57"/>
  <c r="E66" i="57" l="1"/>
  <c r="E59" i="57"/>
  <c r="E70" i="57"/>
  <c r="E64" i="57" l="1"/>
  <c r="E71" i="57"/>
  <c r="E68" i="57"/>
  <c r="E88" i="57" l="1"/>
  <c r="E72" i="57"/>
  <c r="I62" i="57" l="1"/>
  <c r="J62" i="57" s="1"/>
  <c r="I67" i="57"/>
  <c r="J67" i="57" s="1"/>
  <c r="I57" i="57"/>
  <c r="J57" i="57" s="1"/>
  <c r="I58" i="57"/>
  <c r="J58" i="57" s="1"/>
  <c r="I70" i="57"/>
  <c r="J70" i="57" s="1"/>
  <c r="I68" i="57"/>
  <c r="J68" i="57" s="1"/>
  <c r="I69" i="57"/>
  <c r="J69" i="57" s="1"/>
  <c r="I65" i="57"/>
  <c r="J65" i="57" s="1"/>
  <c r="I61" i="57"/>
  <c r="J61" i="57" s="1"/>
  <c r="I60" i="57"/>
  <c r="J60" i="57" s="1"/>
  <c r="I59" i="57"/>
  <c r="J59" i="57" s="1"/>
  <c r="I66" i="57"/>
  <c r="J66" i="57" s="1"/>
  <c r="I71" i="57"/>
  <c r="J71" i="57" s="1"/>
  <c r="I64" i="57"/>
  <c r="J64" i="57" s="1"/>
  <c r="E89" i="57"/>
  <c r="I63" i="57"/>
  <c r="J63" i="57" s="1"/>
  <c r="J72" i="57" l="1"/>
  <c r="E90" i="57" l="1"/>
  <c r="F34" i="42" l="1"/>
  <c r="E143" i="56"/>
  <c r="E143" i="57"/>
  <c r="F143" i="56" l="1"/>
  <c r="F149" i="56" s="1"/>
  <c r="E149" i="56"/>
  <c r="F143" i="57"/>
  <c r="F149" i="57" s="1"/>
  <c r="E149" i="57"/>
  <c r="D32" i="65" l="1"/>
  <c r="D32" i="66"/>
  <c r="D32" i="44" l="1"/>
  <c r="T71" i="42" l="1"/>
  <c r="U71" i="42" l="1"/>
  <c r="D80" i="42" l="1"/>
  <c r="E120" i="65" l="1"/>
  <c r="E117" i="65"/>
  <c r="E107" i="65"/>
  <c r="E104" i="65"/>
  <c r="E123" i="65" l="1"/>
  <c r="E110" i="65"/>
  <c r="E120" i="67" l="1"/>
  <c r="E120" i="66"/>
  <c r="E117" i="67"/>
  <c r="E117" i="66"/>
  <c r="E107" i="67"/>
  <c r="E107" i="66"/>
  <c r="E104" i="67"/>
  <c r="E104" i="66"/>
  <c r="E123" i="67" l="1"/>
  <c r="E110" i="67"/>
  <c r="E110" i="66"/>
  <c r="E123" i="66"/>
  <c r="E120" i="44" l="1"/>
  <c r="E104" i="44" l="1"/>
  <c r="E107" i="44"/>
  <c r="E110" i="44" l="1"/>
  <c r="E117" i="44"/>
  <c r="E123" i="44" s="1"/>
  <c r="E93" i="42" l="1"/>
  <c r="D35" i="44"/>
  <c r="E102" i="42" l="1"/>
  <c r="F32" i="70" l="1"/>
  <c r="E32" i="70"/>
  <c r="D23" i="66"/>
  <c r="E53" i="70" l="1"/>
  <c r="F33" i="70" l="1"/>
  <c r="E33" i="70"/>
  <c r="D24" i="66"/>
  <c r="E54" i="70" l="1"/>
  <c r="G8" i="5" l="1"/>
  <c r="D9" i="67" s="1"/>
  <c r="F8" i="5"/>
  <c r="D9" i="66" s="1"/>
  <c r="E8" i="5"/>
  <c r="D9" i="65" s="1"/>
  <c r="D8" i="5"/>
  <c r="D9" i="44" s="1"/>
  <c r="D32" i="67" l="1"/>
  <c r="E44" i="5" l="1"/>
  <c r="D39" i="65"/>
  <c r="D39" i="66"/>
  <c r="F44" i="5"/>
  <c r="D44" i="5"/>
  <c r="D39" i="44"/>
  <c r="F93" i="42" l="1"/>
  <c r="D38" i="44"/>
  <c r="D38" i="66"/>
  <c r="F93" i="70"/>
  <c r="F93" i="69"/>
  <c r="D38" i="65"/>
  <c r="F102" i="70" l="1"/>
  <c r="E76" i="66"/>
  <c r="E62" i="66"/>
  <c r="E62" i="65"/>
  <c r="E76" i="65"/>
  <c r="E62" i="44"/>
  <c r="E76" i="44"/>
  <c r="C123" i="69"/>
  <c r="D43" i="65"/>
  <c r="E84" i="65" s="1"/>
  <c r="F102" i="69"/>
  <c r="F102" i="42"/>
  <c r="G93" i="42"/>
  <c r="D39" i="67"/>
  <c r="G44" i="5"/>
  <c r="E19" i="7"/>
  <c r="I93" i="70" a="1"/>
  <c r="M31" i="70" a="1"/>
  <c r="M31" i="69" a="1"/>
  <c r="I93" i="42" a="1"/>
  <c r="M31" i="42" a="1"/>
  <c r="I93" i="69" a="1"/>
  <c r="I93" i="42" l="1"/>
  <c r="M31" i="42"/>
  <c r="M52" i="42" s="1"/>
  <c r="C75" i="42" s="1"/>
  <c r="I93" i="70"/>
  <c r="I93" i="69"/>
  <c r="M31" i="69"/>
  <c r="M52" i="69" s="1"/>
  <c r="C75" i="69" s="1"/>
  <c r="M31" i="70"/>
  <c r="M52" i="70" s="1"/>
  <c r="C75" i="70" s="1"/>
  <c r="G102" i="42"/>
  <c r="E85" i="65"/>
  <c r="C123" i="71"/>
  <c r="D43" i="67"/>
  <c r="E84" i="67" s="1"/>
  <c r="C124" i="69"/>
  <c r="J123" i="69"/>
  <c r="E123" i="69"/>
  <c r="E124" i="69" s="1"/>
  <c r="C123" i="42"/>
  <c r="D43" i="44"/>
  <c r="E84" i="44" s="1"/>
  <c r="D38" i="67"/>
  <c r="F93" i="71"/>
  <c r="G19" i="7"/>
  <c r="D19" i="7"/>
  <c r="E85" i="67" l="1"/>
  <c r="E123" i="71"/>
  <c r="E124" i="71" s="1"/>
  <c r="J123" i="71"/>
  <c r="C124" i="71"/>
  <c r="E85" i="44"/>
  <c r="I102" i="69"/>
  <c r="E123" i="42"/>
  <c r="E124" i="42" s="1"/>
  <c r="J123" i="42"/>
  <c r="C124" i="42"/>
  <c r="I102" i="70"/>
  <c r="D15" i="69"/>
  <c r="E15" i="69"/>
  <c r="D43" i="66"/>
  <c r="E84" i="66" s="1"/>
  <c r="C123" i="70"/>
  <c r="P123" i="69"/>
  <c r="L123" i="69"/>
  <c r="L124" i="69" s="1"/>
  <c r="J124" i="69"/>
  <c r="I102" i="42"/>
  <c r="F102" i="71"/>
  <c r="E62" i="67"/>
  <c r="E76" i="67"/>
  <c r="F19" i="7"/>
  <c r="M31" i="71" a="1"/>
  <c r="I93" i="71" a="1"/>
  <c r="H19" i="7" l="1"/>
  <c r="H15" i="69"/>
  <c r="G15" i="69"/>
  <c r="E15" i="42"/>
  <c r="D15" i="42"/>
  <c r="J124" i="71"/>
  <c r="L123" i="71"/>
  <c r="L124" i="71" s="1"/>
  <c r="P123" i="71"/>
  <c r="R123" i="69"/>
  <c r="R124" i="69" s="1"/>
  <c r="P124" i="69"/>
  <c r="H111" i="69"/>
  <c r="D15" i="71"/>
  <c r="E15" i="71"/>
  <c r="C124" i="70"/>
  <c r="J123" i="70"/>
  <c r="E123" i="70"/>
  <c r="E124" i="70" s="1"/>
  <c r="H111" i="42"/>
  <c r="E85" i="66"/>
  <c r="L123" i="42"/>
  <c r="L124" i="42" s="1"/>
  <c r="P123" i="42"/>
  <c r="J124" i="42"/>
  <c r="H111" i="70"/>
  <c r="I93" i="71"/>
  <c r="M31" i="71"/>
  <c r="M52" i="71" s="1"/>
  <c r="C75" i="71" s="1"/>
  <c r="K111" i="69" l="1"/>
  <c r="K111" i="70"/>
  <c r="E15" i="70"/>
  <c r="D15" i="70"/>
  <c r="K15" i="69"/>
  <c r="J15" i="69"/>
  <c r="P123" i="70"/>
  <c r="L123" i="70"/>
  <c r="L124" i="70" s="1"/>
  <c r="J124" i="70"/>
  <c r="P124" i="71"/>
  <c r="R123" i="71"/>
  <c r="R124" i="71" s="1"/>
  <c r="K111" i="42"/>
  <c r="R123" i="42"/>
  <c r="R124" i="42" s="1"/>
  <c r="P124" i="42"/>
  <c r="G15" i="71"/>
  <c r="H15" i="71"/>
  <c r="H15" i="42"/>
  <c r="G15" i="42"/>
  <c r="I102" i="71"/>
  <c r="D6" i="10"/>
  <c r="J6" i="64"/>
  <c r="M15" i="69" l="1"/>
  <c r="N15" i="69" s="1"/>
  <c r="K15" i="42"/>
  <c r="J15" i="42"/>
  <c r="J15" i="71"/>
  <c r="K15" i="71"/>
  <c r="G15" i="70"/>
  <c r="H15" i="70"/>
  <c r="R123" i="70"/>
  <c r="R124" i="70" s="1"/>
  <c r="P124" i="70"/>
  <c r="H111" i="71"/>
  <c r="X6" i="64"/>
  <c r="C6" i="10"/>
  <c r="F6" i="10"/>
  <c r="C6" i="64"/>
  <c r="M15" i="71" l="1"/>
  <c r="N15" i="71" s="1"/>
  <c r="M15" i="42"/>
  <c r="N15" i="42" s="1"/>
  <c r="K15" i="70"/>
  <c r="J15" i="70"/>
  <c r="K111" i="71"/>
  <c r="Q6" i="64"/>
  <c r="E6" i="10"/>
  <c r="G6" i="10" l="1"/>
  <c r="M15" i="70"/>
  <c r="N15" i="70" s="1"/>
  <c r="D12" i="44" l="1"/>
  <c r="D12" i="66"/>
  <c r="D12" i="65"/>
  <c r="G51" i="5"/>
  <c r="D45" i="67" s="1"/>
  <c r="D28" i="67"/>
  <c r="G32" i="5"/>
  <c r="D12" i="67"/>
  <c r="D33" i="5" l="1"/>
  <c r="D19" i="44"/>
  <c r="F104" i="44" s="1"/>
  <c r="H31" i="71"/>
  <c r="H52" i="71" s="1"/>
  <c r="D26" i="67"/>
  <c r="E61" i="67" s="1"/>
  <c r="D32" i="5"/>
  <c r="D51" i="5"/>
  <c r="D45" i="44" s="1"/>
  <c r="D28" i="44"/>
  <c r="D20" i="44"/>
  <c r="O31" i="71" a="1"/>
  <c r="O31" i="71" l="1"/>
  <c r="D20" i="67"/>
  <c r="D19" i="67"/>
  <c r="F104" i="67" s="1"/>
  <c r="G33" i="5"/>
  <c r="D26" i="44"/>
  <c r="E61" i="44" s="1"/>
  <c r="H31" i="42"/>
  <c r="H52" i="42" s="1"/>
  <c r="F31" i="42"/>
  <c r="F52" i="42" s="1"/>
  <c r="D27" i="44"/>
  <c r="E32" i="5"/>
  <c r="E51" i="5"/>
  <c r="D45" i="65" s="1"/>
  <c r="D28" i="65"/>
  <c r="E33" i="5"/>
  <c r="F51" i="5"/>
  <c r="D45" i="66" s="1"/>
  <c r="F32" i="5"/>
  <c r="D28" i="66"/>
  <c r="F33" i="5"/>
  <c r="D27" i="5"/>
  <c r="D21" i="44" s="1"/>
  <c r="D20" i="65"/>
  <c r="D19" i="65"/>
  <c r="F104" i="65" s="1"/>
  <c r="O31" i="42" a="1"/>
  <c r="O31" i="42" l="1"/>
  <c r="O52" i="42" s="1"/>
  <c r="D75" i="42" s="1"/>
  <c r="D20" i="66"/>
  <c r="D19" i="66"/>
  <c r="F104" i="66" s="1"/>
  <c r="D27" i="65"/>
  <c r="F31" i="69"/>
  <c r="F52" i="69" s="1"/>
  <c r="D27" i="67"/>
  <c r="F31" i="71"/>
  <c r="F52" i="71" s="1"/>
  <c r="D13" i="67"/>
  <c r="G35" i="5"/>
  <c r="D29" i="67" s="1"/>
  <c r="G20" i="5"/>
  <c r="G27" i="5"/>
  <c r="D21" i="67" s="1"/>
  <c r="F31" i="70"/>
  <c r="F52" i="70" s="1"/>
  <c r="D27" i="66"/>
  <c r="D13" i="44"/>
  <c r="D35" i="5"/>
  <c r="D29" i="44" s="1"/>
  <c r="D20" i="5"/>
  <c r="D26" i="65"/>
  <c r="E61" i="65" s="1"/>
  <c r="H31" i="69"/>
  <c r="H52" i="69" s="1"/>
  <c r="E27" i="5"/>
  <c r="D21" i="65" s="1"/>
  <c r="D26" i="66"/>
  <c r="E61" i="66" s="1"/>
  <c r="H31" i="70"/>
  <c r="H52" i="70" s="1"/>
  <c r="D13" i="65"/>
  <c r="E35" i="5"/>
  <c r="D29" i="65" s="1"/>
  <c r="E20" i="5"/>
  <c r="O52" i="71"/>
  <c r="D75" i="71" s="1"/>
  <c r="O31" i="69" a="1"/>
  <c r="O31" i="70" a="1"/>
  <c r="O31" i="69" l="1"/>
  <c r="O52" i="69" s="1"/>
  <c r="D75" i="69" s="1"/>
  <c r="O31" i="70"/>
  <c r="O52" i="70" s="1"/>
  <c r="D75" i="70" s="1"/>
  <c r="F27" i="5"/>
  <c r="D21" i="66" s="1"/>
  <c r="D14" i="67"/>
  <c r="E65" i="67" s="1"/>
  <c r="G36" i="5"/>
  <c r="D14" i="44"/>
  <c r="D36" i="5"/>
  <c r="V71" i="71"/>
  <c r="V72" i="71"/>
  <c r="E81" i="71" s="1"/>
  <c r="F81" i="71" s="1"/>
  <c r="D14" i="65"/>
  <c r="E36" i="5"/>
  <c r="V71" i="42"/>
  <c r="V72" i="42"/>
  <c r="E81" i="42" s="1"/>
  <c r="F81" i="42" s="1"/>
  <c r="F35" i="5" l="1"/>
  <c r="D29" i="66" s="1"/>
  <c r="D13" i="66"/>
  <c r="F20" i="5"/>
  <c r="E80" i="42"/>
  <c r="D30" i="65"/>
  <c r="D17" i="66"/>
  <c r="G33" i="70"/>
  <c r="D30" i="44"/>
  <c r="D30" i="67"/>
  <c r="G32" i="70"/>
  <c r="D16" i="66"/>
  <c r="V72" i="70"/>
  <c r="E81" i="70" s="1"/>
  <c r="F81" i="70" s="1"/>
  <c r="V71" i="70"/>
  <c r="E80" i="71"/>
  <c r="V72" i="69"/>
  <c r="E81" i="69" s="1"/>
  <c r="F81" i="69" s="1"/>
  <c r="V71" i="69"/>
  <c r="I32" i="70" l="1"/>
  <c r="G53" i="70"/>
  <c r="E80" i="70"/>
  <c r="F80" i="42"/>
  <c r="F36" i="5"/>
  <c r="D14" i="66"/>
  <c r="E80" i="69"/>
  <c r="F80" i="71"/>
  <c r="G54" i="70"/>
  <c r="I54" i="70" s="1"/>
  <c r="I33" i="70"/>
  <c r="I53" i="70" l="1"/>
  <c r="L81" i="70" s="1"/>
  <c r="N81" i="70" s="1"/>
  <c r="G81" i="70"/>
  <c r="I81" i="70" s="1"/>
  <c r="F80" i="69"/>
  <c r="F80" i="70"/>
  <c r="D30" i="66"/>
  <c r="K33" i="56" l="1"/>
  <c r="K34" i="56" s="1"/>
  <c r="K35" i="56" s="1"/>
  <c r="K33" i="57"/>
  <c r="K34" i="57" s="1"/>
  <c r="K35" i="57" s="1"/>
  <c r="K32" i="70" a="1"/>
  <c r="N32" i="70" a="1"/>
  <c r="N32" i="70" l="1"/>
  <c r="N53" i="70" s="1"/>
  <c r="K32" i="70"/>
  <c r="D37" i="44"/>
  <c r="E95" i="42"/>
  <c r="E41" i="70" l="1"/>
  <c r="G41" i="70" s="1"/>
  <c r="K53" i="70"/>
  <c r="E62" i="70" s="1"/>
  <c r="G62" i="70" s="1"/>
  <c r="F32" i="71"/>
  <c r="E32" i="71"/>
  <c r="D23" i="67"/>
  <c r="E93" i="69"/>
  <c r="D35" i="65"/>
  <c r="E104" i="42"/>
  <c r="G95" i="42"/>
  <c r="H93" i="69" a="1"/>
  <c r="H93" i="69" l="1"/>
  <c r="D35" i="66"/>
  <c r="E93" i="70"/>
  <c r="G104" i="42"/>
  <c r="E102" i="69"/>
  <c r="G93" i="69"/>
  <c r="E40" i="5"/>
  <c r="D33" i="65"/>
  <c r="E46" i="5"/>
  <c r="D40" i="65" s="1"/>
  <c r="E53" i="71"/>
  <c r="E95" i="69"/>
  <c r="D37" i="65"/>
  <c r="N32" i="71" a="1"/>
  <c r="K32" i="71" a="1"/>
  <c r="H93" i="70" a="1"/>
  <c r="H95" i="69" a="1"/>
  <c r="H93" i="70" l="1"/>
  <c r="N93" i="70" s="1"/>
  <c r="H95" i="69"/>
  <c r="N32" i="71"/>
  <c r="N53" i="71" s="1"/>
  <c r="K32" i="71"/>
  <c r="D40" i="5"/>
  <c r="D33" i="44"/>
  <c r="D46" i="5"/>
  <c r="D40" i="44" s="1"/>
  <c r="D37" i="66"/>
  <c r="E95" i="70"/>
  <c r="E94" i="70"/>
  <c r="D36" i="66"/>
  <c r="D36" i="65"/>
  <c r="E94" i="69"/>
  <c r="D34" i="65"/>
  <c r="E47" i="5"/>
  <c r="H102" i="69"/>
  <c r="L102" i="69" s="1"/>
  <c r="M93" i="69"/>
  <c r="J93" i="69"/>
  <c r="F40" i="5"/>
  <c r="D33" i="66"/>
  <c r="F46" i="5"/>
  <c r="D40" i="66" s="1"/>
  <c r="D35" i="67"/>
  <c r="E93" i="71"/>
  <c r="N93" i="69"/>
  <c r="D37" i="67"/>
  <c r="E95" i="71"/>
  <c r="E94" i="42"/>
  <c r="D36" i="44"/>
  <c r="E104" i="69"/>
  <c r="G95" i="69"/>
  <c r="L93" i="69"/>
  <c r="E102" i="70"/>
  <c r="L93" i="70"/>
  <c r="G93" i="70"/>
  <c r="E94" i="71"/>
  <c r="D36" i="67"/>
  <c r="G102" i="69"/>
  <c r="H95" i="70" a="1"/>
  <c r="H94" i="70" a="1"/>
  <c r="H94" i="69" a="1"/>
  <c r="H93" i="71" a="1"/>
  <c r="H95" i="71" a="1"/>
  <c r="H94" i="71" a="1"/>
  <c r="L90" i="66" l="1"/>
  <c r="H95" i="71"/>
  <c r="H94" i="71"/>
  <c r="L94" i="71" s="1"/>
  <c r="H94" i="69"/>
  <c r="L94" i="69" s="1"/>
  <c r="L96" i="69" s="1"/>
  <c r="C14" i="69" s="1"/>
  <c r="H94" i="70"/>
  <c r="L94" i="70" s="1"/>
  <c r="L96" i="70" s="1"/>
  <c r="C14" i="70" s="1"/>
  <c r="H93" i="71"/>
  <c r="L93" i="71" s="1"/>
  <c r="H95" i="70"/>
  <c r="E104" i="71"/>
  <c r="G95" i="71"/>
  <c r="D34" i="66"/>
  <c r="F47" i="5"/>
  <c r="E103" i="71"/>
  <c r="G94" i="71"/>
  <c r="E103" i="69"/>
  <c r="G94" i="69"/>
  <c r="G96" i="69" s="1"/>
  <c r="E96" i="69"/>
  <c r="L90" i="65"/>
  <c r="E75" i="65"/>
  <c r="E78" i="65" s="1"/>
  <c r="D34" i="44"/>
  <c r="D47" i="5"/>
  <c r="G102" i="70"/>
  <c r="O93" i="69"/>
  <c r="E75" i="66"/>
  <c r="K53" i="71"/>
  <c r="E62" i="71" s="1"/>
  <c r="G62" i="71" s="1"/>
  <c r="E41" i="71"/>
  <c r="G41" i="71" s="1"/>
  <c r="E96" i="42"/>
  <c r="E103" i="42"/>
  <c r="G94" i="42"/>
  <c r="G96" i="42" s="1"/>
  <c r="O111" i="69"/>
  <c r="N102" i="69"/>
  <c r="E75" i="67"/>
  <c r="E78" i="67" s="1"/>
  <c r="L90" i="67"/>
  <c r="E102" i="71"/>
  <c r="E96" i="71"/>
  <c r="G93" i="71"/>
  <c r="L111" i="69"/>
  <c r="J102" i="69"/>
  <c r="M102" i="69"/>
  <c r="E96" i="70"/>
  <c r="E103" i="70"/>
  <c r="G94" i="70"/>
  <c r="H104" i="69"/>
  <c r="J95" i="69"/>
  <c r="E77" i="65"/>
  <c r="G104" i="69"/>
  <c r="D41" i="65"/>
  <c r="E52" i="5"/>
  <c r="D46" i="65" s="1"/>
  <c r="E104" i="70"/>
  <c r="G95" i="70"/>
  <c r="H102" i="70"/>
  <c r="J93" i="70"/>
  <c r="M93" i="70"/>
  <c r="E16" i="7"/>
  <c r="N94" i="69" l="1"/>
  <c r="N96" i="69" s="1"/>
  <c r="H96" i="70"/>
  <c r="N94" i="70"/>
  <c r="N96" i="70" s="1"/>
  <c r="N93" i="71"/>
  <c r="L96" i="71"/>
  <c r="C14" i="71" s="1"/>
  <c r="N94" i="71"/>
  <c r="G96" i="71"/>
  <c r="G96" i="70"/>
  <c r="E105" i="70"/>
  <c r="O102" i="69"/>
  <c r="L111" i="70"/>
  <c r="Q111" i="70" s="1"/>
  <c r="J102" i="70"/>
  <c r="M102" i="70"/>
  <c r="E105" i="71"/>
  <c r="G102" i="71"/>
  <c r="L113" i="69"/>
  <c r="M113" i="69" s="1"/>
  <c r="J104" i="69"/>
  <c r="M104" i="69" s="1"/>
  <c r="O104" i="69" s="1"/>
  <c r="S113" i="69" s="1"/>
  <c r="E79" i="65"/>
  <c r="H104" i="70"/>
  <c r="K104" i="70" s="1"/>
  <c r="K105" i="70" s="1"/>
  <c r="J95" i="70"/>
  <c r="G104" i="70"/>
  <c r="P111" i="69"/>
  <c r="M111" i="69"/>
  <c r="E105" i="42"/>
  <c r="G103" i="42"/>
  <c r="L102" i="70"/>
  <c r="H102" i="71"/>
  <c r="H96" i="71"/>
  <c r="J93" i="71"/>
  <c r="M93" i="71"/>
  <c r="G103" i="71"/>
  <c r="H103" i="70"/>
  <c r="L103" i="70" s="1"/>
  <c r="M94" i="70"/>
  <c r="J94" i="70"/>
  <c r="G103" i="69"/>
  <c r="E105" i="69"/>
  <c r="G104" i="71"/>
  <c r="Q111" i="69"/>
  <c r="D41" i="66"/>
  <c r="F52" i="5"/>
  <c r="D46" i="66" s="1"/>
  <c r="H103" i="69"/>
  <c r="M94" i="69"/>
  <c r="J94" i="69"/>
  <c r="J96" i="69" s="1"/>
  <c r="H96" i="69"/>
  <c r="O93" i="70"/>
  <c r="G103" i="70"/>
  <c r="H103" i="71"/>
  <c r="M94" i="71"/>
  <c r="J94" i="71"/>
  <c r="K104" i="69"/>
  <c r="K105" i="69" s="1"/>
  <c r="E77" i="66"/>
  <c r="E78" i="66"/>
  <c r="D41" i="44"/>
  <c r="D52" i="5"/>
  <c r="D46" i="44" s="1"/>
  <c r="H104" i="71"/>
  <c r="J95" i="71"/>
  <c r="E17" i="7"/>
  <c r="F16" i="7"/>
  <c r="O94" i="70" l="1"/>
  <c r="O96" i="70" s="1"/>
  <c r="E14" i="70" s="1"/>
  <c r="N96" i="71"/>
  <c r="O94" i="71"/>
  <c r="G105" i="70"/>
  <c r="J96" i="71"/>
  <c r="J96" i="70"/>
  <c r="M103" i="69"/>
  <c r="L112" i="69"/>
  <c r="Q112" i="69" s="1"/>
  <c r="Q114" i="69" s="1"/>
  <c r="J103" i="69"/>
  <c r="J105" i="69" s="1"/>
  <c r="H105" i="69"/>
  <c r="R111" i="69"/>
  <c r="E79" i="66"/>
  <c r="L103" i="69"/>
  <c r="O93" i="71"/>
  <c r="M96" i="71"/>
  <c r="L105" i="70"/>
  <c r="F14" i="70" s="1"/>
  <c r="O112" i="70"/>
  <c r="N103" i="70"/>
  <c r="L111" i="71"/>
  <c r="Q111" i="71" s="1"/>
  <c r="H105" i="71"/>
  <c r="M102" i="71"/>
  <c r="J102" i="71"/>
  <c r="O111" i="70"/>
  <c r="N102" i="70"/>
  <c r="M103" i="70"/>
  <c r="L112" i="70"/>
  <c r="Q112" i="70" s="1"/>
  <c r="Q114" i="70" s="1"/>
  <c r="J103" i="70"/>
  <c r="G105" i="42"/>
  <c r="G105" i="71"/>
  <c r="H105" i="70"/>
  <c r="L112" i="71"/>
  <c r="Q112" i="71" s="1"/>
  <c r="M103" i="71"/>
  <c r="J103" i="71"/>
  <c r="M96" i="70"/>
  <c r="L113" i="70"/>
  <c r="M113" i="70" s="1"/>
  <c r="J104" i="70"/>
  <c r="M104" i="70" s="1"/>
  <c r="O104" i="70" s="1"/>
  <c r="S113" i="70" s="1"/>
  <c r="L102" i="71"/>
  <c r="P111" i="70"/>
  <c r="M111" i="70"/>
  <c r="O94" i="69"/>
  <c r="O96" i="69" s="1"/>
  <c r="M96" i="69"/>
  <c r="G105" i="69"/>
  <c r="L113" i="71"/>
  <c r="M113" i="71" s="1"/>
  <c r="J104" i="71"/>
  <c r="M104" i="71" s="1"/>
  <c r="O104" i="71" s="1"/>
  <c r="S113" i="71" s="1"/>
  <c r="K104" i="71"/>
  <c r="K105" i="71" s="1"/>
  <c r="L103" i="71"/>
  <c r="E80" i="65"/>
  <c r="F17" i="7"/>
  <c r="N33" i="70" a="1"/>
  <c r="K33" i="70" a="1"/>
  <c r="M105" i="70" l="1"/>
  <c r="D14" i="70"/>
  <c r="N105" i="70"/>
  <c r="O96" i="71"/>
  <c r="D14" i="71" s="1"/>
  <c r="J105" i="70"/>
  <c r="O103" i="70"/>
  <c r="O102" i="70"/>
  <c r="K33" i="70"/>
  <c r="N33" i="70"/>
  <c r="N54" i="70" s="1"/>
  <c r="I73" i="70" s="1"/>
  <c r="T73" i="70" s="1"/>
  <c r="T75" i="70" s="1"/>
  <c r="Q114" i="71"/>
  <c r="L114" i="71"/>
  <c r="P111" i="71"/>
  <c r="M111" i="71"/>
  <c r="E80" i="66"/>
  <c r="D14" i="69"/>
  <c r="E14" i="69"/>
  <c r="O114" i="70"/>
  <c r="I14" i="70" s="1"/>
  <c r="L14" i="70" s="1"/>
  <c r="S111" i="69"/>
  <c r="O112" i="71"/>
  <c r="N103" i="71"/>
  <c r="O103" i="71" s="1"/>
  <c r="L114" i="70"/>
  <c r="O111" i="71"/>
  <c r="L105" i="71"/>
  <c r="F14" i="71" s="1"/>
  <c r="N102" i="71"/>
  <c r="O102" i="71" s="1"/>
  <c r="P112" i="71"/>
  <c r="R112" i="71" s="1"/>
  <c r="M112" i="71"/>
  <c r="P112" i="70"/>
  <c r="R112" i="70" s="1"/>
  <c r="M112" i="70"/>
  <c r="M114" i="70" s="1"/>
  <c r="J105" i="71"/>
  <c r="P112" i="69"/>
  <c r="M112" i="69"/>
  <c r="M114" i="69" s="1"/>
  <c r="L114" i="69"/>
  <c r="R111" i="70"/>
  <c r="M105" i="71"/>
  <c r="O112" i="69"/>
  <c r="O114" i="69" s="1"/>
  <c r="I14" i="69" s="1"/>
  <c r="N103" i="69"/>
  <c r="N105" i="69" s="1"/>
  <c r="L105" i="69"/>
  <c r="F14" i="69" s="1"/>
  <c r="M105" i="69"/>
  <c r="S112" i="70" l="1"/>
  <c r="O103" i="69"/>
  <c r="O105" i="69" s="1"/>
  <c r="H14" i="69" s="1"/>
  <c r="P114" i="70"/>
  <c r="O105" i="70"/>
  <c r="G14" i="70" s="1"/>
  <c r="E14" i="71"/>
  <c r="L14" i="69"/>
  <c r="S112" i="71"/>
  <c r="O105" i="71"/>
  <c r="G14" i="71" s="1"/>
  <c r="N105" i="71"/>
  <c r="R114" i="70"/>
  <c r="S111" i="70"/>
  <c r="F42" i="70"/>
  <c r="K54" i="70"/>
  <c r="F63" i="70" s="1"/>
  <c r="M114" i="71"/>
  <c r="R111" i="71"/>
  <c r="P114" i="71"/>
  <c r="R112" i="69"/>
  <c r="P114" i="69"/>
  <c r="O114" i="71"/>
  <c r="I14" i="71" s="1"/>
  <c r="L14" i="71" s="1"/>
  <c r="G14" i="69" l="1"/>
  <c r="S114" i="70"/>
  <c r="H14" i="71"/>
  <c r="H14" i="70"/>
  <c r="F65" i="70"/>
  <c r="G63" i="70"/>
  <c r="F44" i="70"/>
  <c r="G42" i="70"/>
  <c r="S112" i="69"/>
  <c r="S114" i="69" s="1"/>
  <c r="R114" i="69"/>
  <c r="R114" i="71"/>
  <c r="S111" i="71"/>
  <c r="S114" i="71" s="1"/>
  <c r="J14" i="70"/>
  <c r="K14" i="70"/>
  <c r="E5" i="10"/>
  <c r="Q5" i="64"/>
  <c r="K14" i="69" l="1"/>
  <c r="J14" i="69"/>
  <c r="K14" i="71"/>
  <c r="J14" i="71"/>
  <c r="M14" i="70"/>
  <c r="N14" i="70" s="1"/>
  <c r="J5" i="64"/>
  <c r="D5" i="10"/>
  <c r="X5" i="64"/>
  <c r="F5" i="10"/>
  <c r="M14" i="69" l="1"/>
  <c r="N14" i="69" s="1"/>
  <c r="M14" i="71"/>
  <c r="N14" i="71" s="1"/>
  <c r="K33" i="44" l="1"/>
  <c r="K34" i="44" s="1"/>
  <c r="K35" i="44" s="1"/>
  <c r="K33" i="66"/>
  <c r="K33" i="65"/>
  <c r="K33" i="67"/>
  <c r="D23" i="7"/>
  <c r="G23" i="7"/>
  <c r="E23" i="7"/>
  <c r="F23" i="7"/>
  <c r="H94" i="42" a="1"/>
  <c r="H93" i="42" a="1"/>
  <c r="H95" i="42" a="1"/>
  <c r="H94" i="42" l="1"/>
  <c r="H95" i="42"/>
  <c r="H23" i="7"/>
  <c r="H93" i="42"/>
  <c r="K34" i="67"/>
  <c r="K35" i="67" s="1"/>
  <c r="K34" i="65"/>
  <c r="K35" i="65" s="1"/>
  <c r="K34" i="66"/>
  <c r="K35" i="66" s="1"/>
  <c r="L90" i="44"/>
  <c r="E75" i="44"/>
  <c r="E78" i="44" l="1"/>
  <c r="E79" i="44" s="1"/>
  <c r="E77" i="44"/>
  <c r="L93" i="42"/>
  <c r="H96" i="42"/>
  <c r="H102" i="42"/>
  <c r="J93" i="42"/>
  <c r="N93" i="42"/>
  <c r="M93" i="42"/>
  <c r="H104" i="42"/>
  <c r="J95" i="42"/>
  <c r="H103" i="42"/>
  <c r="M94" i="42"/>
  <c r="J94" i="42"/>
  <c r="N94" i="42"/>
  <c r="L94" i="42"/>
  <c r="D16" i="7"/>
  <c r="D17" i="7"/>
  <c r="O94" i="42" l="1"/>
  <c r="O93" i="42"/>
  <c r="M96" i="42"/>
  <c r="N96" i="42"/>
  <c r="J96" i="42"/>
  <c r="H105" i="42"/>
  <c r="L102" i="42"/>
  <c r="L111" i="42"/>
  <c r="J102" i="42"/>
  <c r="M102" i="42"/>
  <c r="M103" i="42"/>
  <c r="L112" i="42"/>
  <c r="J103" i="42"/>
  <c r="L103" i="42"/>
  <c r="L96" i="42"/>
  <c r="C14" i="42" s="1"/>
  <c r="L113" i="42"/>
  <c r="M113" i="42" s="1"/>
  <c r="J104" i="42"/>
  <c r="M104" i="42" s="1"/>
  <c r="O104" i="42" s="1"/>
  <c r="S113" i="42" s="1"/>
  <c r="K104" i="42"/>
  <c r="K105" i="42" s="1"/>
  <c r="E80" i="44"/>
  <c r="O96" i="42" l="1"/>
  <c r="D14" i="42" s="1"/>
  <c r="P112" i="42"/>
  <c r="M112" i="42"/>
  <c r="Q112" i="42"/>
  <c r="M105" i="42"/>
  <c r="J105" i="42"/>
  <c r="L114" i="42"/>
  <c r="M111" i="42"/>
  <c r="P111" i="42"/>
  <c r="Q111" i="42"/>
  <c r="L105" i="42"/>
  <c r="F14" i="42" s="1"/>
  <c r="O111" i="42"/>
  <c r="N102" i="42"/>
  <c r="O112" i="42"/>
  <c r="N103" i="42"/>
  <c r="O103" i="42" s="1"/>
  <c r="E14" i="42" l="1"/>
  <c r="M114" i="42"/>
  <c r="R112" i="42"/>
  <c r="S112" i="42" s="1"/>
  <c r="Q114" i="42"/>
  <c r="N105" i="42"/>
  <c r="O114" i="42"/>
  <c r="I14" i="42" s="1"/>
  <c r="L14" i="42" s="1"/>
  <c r="O102" i="42"/>
  <c r="O105" i="42" s="1"/>
  <c r="P114" i="42"/>
  <c r="R111" i="42"/>
  <c r="S111" i="42" l="1"/>
  <c r="S114" i="42" s="1"/>
  <c r="R114" i="42"/>
  <c r="H14" i="42"/>
  <c r="G14" i="42"/>
  <c r="J14" i="42" l="1"/>
  <c r="K14" i="42"/>
  <c r="C5" i="64"/>
  <c r="C5" i="10"/>
  <c r="G5" i="10" l="1"/>
  <c r="M14" i="42"/>
  <c r="N14" i="42" s="1"/>
  <c r="G40" i="5" l="1"/>
  <c r="D33" i="67"/>
  <c r="G46" i="5"/>
  <c r="D40" i="67" s="1"/>
  <c r="D34" i="67" l="1"/>
  <c r="E77" i="67" s="1"/>
  <c r="G47" i="5"/>
  <c r="G16" i="7"/>
  <c r="H16" i="7" l="1"/>
  <c r="D41" i="67"/>
  <c r="E79" i="67" s="1"/>
  <c r="G52" i="5"/>
  <c r="D46" i="67" s="1"/>
  <c r="G17" i="7"/>
  <c r="H17" i="7" l="1"/>
  <c r="E80" i="67"/>
  <c r="E31" i="71" l="1"/>
  <c r="D22" i="67"/>
  <c r="F33" i="71"/>
  <c r="E33" i="71"/>
  <c r="D24" i="67"/>
  <c r="K31" i="71" a="1"/>
  <c r="N33" i="71" a="1"/>
  <c r="K33" i="71" a="1"/>
  <c r="L31" i="71" a="1"/>
  <c r="N31" i="71" a="1"/>
  <c r="L31" i="71" l="1"/>
  <c r="N31" i="71"/>
  <c r="K31" i="71"/>
  <c r="E40" i="71" s="1"/>
  <c r="N33" i="71"/>
  <c r="N54" i="71" s="1"/>
  <c r="I73" i="71" s="1"/>
  <c r="T73" i="71" s="1"/>
  <c r="T75" i="71" s="1"/>
  <c r="K33" i="71"/>
  <c r="K54" i="71" s="1"/>
  <c r="E54" i="71"/>
  <c r="N83" i="67"/>
  <c r="E56" i="67"/>
  <c r="J86" i="67"/>
  <c r="M86" i="67"/>
  <c r="N87" i="67"/>
  <c r="E60" i="67" s="1"/>
  <c r="E69" i="67" s="1"/>
  <c r="E35" i="71"/>
  <c r="E52" i="71"/>
  <c r="L33" i="71" a="1"/>
  <c r="L32" i="71" a="1"/>
  <c r="N84" i="67" l="1"/>
  <c r="N86" i="67" s="1"/>
  <c r="L33" i="71"/>
  <c r="L32" i="71"/>
  <c r="E57" i="67"/>
  <c r="E66" i="67" s="1"/>
  <c r="E44" i="71"/>
  <c r="G40" i="71"/>
  <c r="K86" i="67"/>
  <c r="F63" i="71"/>
  <c r="E56" i="71"/>
  <c r="K52" i="71"/>
  <c r="K56" i="71" s="1"/>
  <c r="K35" i="71"/>
  <c r="F107" i="67"/>
  <c r="F110" i="67" s="1"/>
  <c r="N35" i="71"/>
  <c r="N52" i="71"/>
  <c r="N56" i="71" s="1"/>
  <c r="L86" i="67"/>
  <c r="F42" i="71"/>
  <c r="L52" i="71"/>
  <c r="P31" i="71"/>
  <c r="Q31" i="71"/>
  <c r="G9" i="7"/>
  <c r="G10" i="7"/>
  <c r="L35" i="71" l="1"/>
  <c r="F44" i="71"/>
  <c r="G42" i="71"/>
  <c r="G44" i="71" s="1"/>
  <c r="E61" i="71"/>
  <c r="P52" i="71"/>
  <c r="Q52" i="71"/>
  <c r="E68" i="67"/>
  <c r="E70" i="67"/>
  <c r="F65" i="71"/>
  <c r="G63" i="71"/>
  <c r="E59" i="67"/>
  <c r="P32" i="71"/>
  <c r="L53" i="71"/>
  <c r="Q32" i="71"/>
  <c r="L54" i="71"/>
  <c r="P33" i="71"/>
  <c r="Q33" i="71"/>
  <c r="G13" i="7"/>
  <c r="G12" i="7"/>
  <c r="Q35" i="71" l="1"/>
  <c r="J31" i="71" s="1"/>
  <c r="P35" i="71"/>
  <c r="P53" i="71"/>
  <c r="Q53" i="71"/>
  <c r="L56" i="71"/>
  <c r="G61" i="71"/>
  <c r="G65" i="71" s="1"/>
  <c r="E65" i="71"/>
  <c r="P54" i="71"/>
  <c r="H73" i="71"/>
  <c r="S73" i="71" s="1"/>
  <c r="Q54" i="71"/>
  <c r="E64" i="67"/>
  <c r="E71" i="67"/>
  <c r="G14" i="7"/>
  <c r="P56" i="71" l="1"/>
  <c r="Q56" i="71"/>
  <c r="J52" i="71" s="1"/>
  <c r="E72" i="67"/>
  <c r="E88" i="67"/>
  <c r="S75" i="71"/>
  <c r="U73" i="71"/>
  <c r="V73" i="71"/>
  <c r="G21" i="7"/>
  <c r="E82" i="71" l="1"/>
  <c r="V75" i="71"/>
  <c r="D82" i="71"/>
  <c r="D84" i="71" s="1"/>
  <c r="U75" i="71"/>
  <c r="E89" i="67"/>
  <c r="I68" i="67"/>
  <c r="J68" i="67" s="1"/>
  <c r="I59" i="67"/>
  <c r="J59" i="67" s="1"/>
  <c r="I62" i="67"/>
  <c r="J62" i="67" s="1"/>
  <c r="I58" i="67"/>
  <c r="J58" i="67" s="1"/>
  <c r="I67" i="67"/>
  <c r="J67" i="67" s="1"/>
  <c r="I71" i="67"/>
  <c r="J71" i="67" s="1"/>
  <c r="I66" i="67"/>
  <c r="J66" i="67" s="1"/>
  <c r="I70" i="67"/>
  <c r="J70" i="67" s="1"/>
  <c r="I65" i="67"/>
  <c r="J65" i="67" s="1"/>
  <c r="I61" i="67"/>
  <c r="J61" i="67" s="1"/>
  <c r="I63" i="67"/>
  <c r="J63" i="67" s="1"/>
  <c r="I64" i="67"/>
  <c r="J64" i="67" s="1"/>
  <c r="I57" i="67"/>
  <c r="J57" i="67" s="1"/>
  <c r="I60" i="67"/>
  <c r="J60" i="67" s="1"/>
  <c r="I69" i="67"/>
  <c r="J69" i="67" s="1"/>
  <c r="D23" i="65" l="1"/>
  <c r="F32" i="69"/>
  <c r="E32" i="69"/>
  <c r="J72" i="67"/>
  <c r="F82" i="71"/>
  <c r="E84" i="71"/>
  <c r="F84" i="71" s="1"/>
  <c r="G22" i="7"/>
  <c r="N32" i="69" a="1"/>
  <c r="K32" i="69" a="1"/>
  <c r="N32" i="69" l="1"/>
  <c r="N53" i="69" s="1"/>
  <c r="K32" i="69"/>
  <c r="K53" i="69" s="1"/>
  <c r="E90" i="67"/>
  <c r="E53" i="69"/>
  <c r="E41" i="69" l="1"/>
  <c r="G41" i="69" s="1"/>
  <c r="D16" i="65"/>
  <c r="G32" i="69"/>
  <c r="D17" i="67"/>
  <c r="G33" i="71"/>
  <c r="E31" i="42"/>
  <c r="D22" i="44"/>
  <c r="G31" i="42"/>
  <c r="D15" i="44"/>
  <c r="G31" i="71"/>
  <c r="D15" i="67"/>
  <c r="D16" i="44"/>
  <c r="G32" i="42"/>
  <c r="G32" i="71"/>
  <c r="D16" i="67"/>
  <c r="E32" i="42"/>
  <c r="F32" i="42"/>
  <c r="D23" i="44"/>
  <c r="E62" i="69"/>
  <c r="G62" i="69" s="1"/>
  <c r="N31" i="42" a="1"/>
  <c r="K32" i="42" a="1"/>
  <c r="K31" i="42" a="1"/>
  <c r="N32" i="42" a="1"/>
  <c r="N31" i="42" l="1"/>
  <c r="K31" i="42"/>
  <c r="E40" i="42" s="1"/>
  <c r="K32" i="42"/>
  <c r="K53" i="42" s="1"/>
  <c r="N32" i="42"/>
  <c r="N53" i="42" s="1"/>
  <c r="E31" i="70"/>
  <c r="D22" i="66"/>
  <c r="E52" i="42"/>
  <c r="E56" i="44"/>
  <c r="N87" i="44"/>
  <c r="E60" i="44" s="1"/>
  <c r="E69" i="44" s="1"/>
  <c r="F33" i="42"/>
  <c r="D24" i="44"/>
  <c r="E33" i="42"/>
  <c r="E53" i="42"/>
  <c r="I33" i="71"/>
  <c r="L42" i="71" s="1"/>
  <c r="G54" i="71"/>
  <c r="I42" i="71"/>
  <c r="G31" i="70"/>
  <c r="D15" i="66"/>
  <c r="D17" i="44"/>
  <c r="G33" i="42"/>
  <c r="G35" i="42" s="1"/>
  <c r="H40" i="71"/>
  <c r="G52" i="71"/>
  <c r="G35" i="71"/>
  <c r="I31" i="71"/>
  <c r="G53" i="71"/>
  <c r="H41" i="71"/>
  <c r="J41" i="71" s="1"/>
  <c r="I32" i="71"/>
  <c r="K41" i="71" s="1"/>
  <c r="M41" i="71" s="1"/>
  <c r="G53" i="69"/>
  <c r="I32" i="69"/>
  <c r="G53" i="42"/>
  <c r="I32" i="42"/>
  <c r="G52" i="42"/>
  <c r="I31" i="42"/>
  <c r="K31" i="70" a="1"/>
  <c r="N31" i="70" a="1"/>
  <c r="L31" i="70" a="1"/>
  <c r="K33" i="42" a="1"/>
  <c r="N33" i="42" a="1"/>
  <c r="E41" i="42" l="1"/>
  <c r="G41" i="42" s="1"/>
  <c r="L31" i="70"/>
  <c r="N31" i="70"/>
  <c r="K31" i="70"/>
  <c r="E40" i="70" s="1"/>
  <c r="K33" i="42"/>
  <c r="K54" i="42" s="1"/>
  <c r="N33" i="42"/>
  <c r="N54" i="42" s="1"/>
  <c r="I73" i="42" s="1"/>
  <c r="T73" i="42" s="1"/>
  <c r="T75" i="42" s="1"/>
  <c r="E65" i="44"/>
  <c r="G81" i="42"/>
  <c r="I81" i="42" s="1"/>
  <c r="I53" i="42"/>
  <c r="L81" i="42" s="1"/>
  <c r="N81" i="42" s="1"/>
  <c r="G35" i="70"/>
  <c r="I31" i="70"/>
  <c r="G52" i="70"/>
  <c r="E33" i="69"/>
  <c r="F33" i="69"/>
  <c r="D24" i="65"/>
  <c r="I35" i="71"/>
  <c r="K40" i="71"/>
  <c r="J42" i="71"/>
  <c r="I44" i="71"/>
  <c r="M86" i="66"/>
  <c r="I63" i="71"/>
  <c r="I54" i="71"/>
  <c r="L63" i="71" s="1"/>
  <c r="N83" i="66"/>
  <c r="E56" i="66"/>
  <c r="J86" i="66"/>
  <c r="G40" i="42"/>
  <c r="G81" i="69"/>
  <c r="I81" i="69" s="1"/>
  <c r="I53" i="69"/>
  <c r="L81" i="69" s="1"/>
  <c r="N81" i="69" s="1"/>
  <c r="G56" i="71"/>
  <c r="H61" i="71"/>
  <c r="I52" i="71"/>
  <c r="G80" i="71"/>
  <c r="L44" i="71"/>
  <c r="M42" i="71"/>
  <c r="N87" i="66"/>
  <c r="E60" i="66" s="1"/>
  <c r="E69" i="66" s="1"/>
  <c r="N83" i="44"/>
  <c r="G33" i="69"/>
  <c r="D17" i="65"/>
  <c r="J40" i="71"/>
  <c r="H44" i="71"/>
  <c r="E62" i="42"/>
  <c r="G62" i="42" s="1"/>
  <c r="I33" i="42"/>
  <c r="I35" i="42" s="1"/>
  <c r="G54" i="42"/>
  <c r="I54" i="42" s="1"/>
  <c r="K52" i="42"/>
  <c r="I52" i="42"/>
  <c r="G80" i="42"/>
  <c r="I53" i="71"/>
  <c r="G81" i="71"/>
  <c r="I81" i="71" s="1"/>
  <c r="H62" i="71"/>
  <c r="J62" i="71" s="1"/>
  <c r="J81" i="71" s="1"/>
  <c r="E35" i="42"/>
  <c r="E54" i="42"/>
  <c r="E35" i="70"/>
  <c r="E52" i="70"/>
  <c r="N52" i="42"/>
  <c r="L32" i="70" a="1"/>
  <c r="L33" i="70" a="1"/>
  <c r="K33" i="69" a="1"/>
  <c r="D9" i="7"/>
  <c r="N33" i="69" a="1"/>
  <c r="E44" i="42" l="1"/>
  <c r="K56" i="42"/>
  <c r="N35" i="42"/>
  <c r="C13" i="71"/>
  <c r="C16" i="71" s="1"/>
  <c r="N56" i="42"/>
  <c r="F42" i="42"/>
  <c r="F44" i="42" s="1"/>
  <c r="K35" i="42"/>
  <c r="K81" i="71"/>
  <c r="L33" i="70"/>
  <c r="L32" i="70"/>
  <c r="K33" i="69"/>
  <c r="K54" i="69" s="1"/>
  <c r="N33" i="69"/>
  <c r="N54" i="69" s="1"/>
  <c r="I73" i="69" s="1"/>
  <c r="T73" i="69" s="1"/>
  <c r="T75" i="69" s="1"/>
  <c r="E31" i="69"/>
  <c r="D22" i="65"/>
  <c r="E56" i="70"/>
  <c r="K62" i="71"/>
  <c r="M62" i="71" s="1"/>
  <c r="O81" i="71" s="1"/>
  <c r="L81" i="71"/>
  <c r="N81" i="71" s="1"/>
  <c r="J63" i="71"/>
  <c r="J82" i="71" s="1"/>
  <c r="H82" i="71"/>
  <c r="I65" i="71"/>
  <c r="K44" i="71"/>
  <c r="M40" i="71"/>
  <c r="M44" i="71" s="1"/>
  <c r="D13" i="71" s="1"/>
  <c r="I35" i="70"/>
  <c r="L86" i="66"/>
  <c r="F107" i="66"/>
  <c r="F110" i="66" s="1"/>
  <c r="E44" i="70"/>
  <c r="G40" i="70"/>
  <c r="G44" i="70" s="1"/>
  <c r="I80" i="42"/>
  <c r="G84" i="42"/>
  <c r="J44" i="71"/>
  <c r="K86" i="66"/>
  <c r="I33" i="69"/>
  <c r="G54" i="69"/>
  <c r="I54" i="69" s="1"/>
  <c r="G56" i="42"/>
  <c r="M86" i="44"/>
  <c r="E56" i="42"/>
  <c r="F63" i="42"/>
  <c r="I56" i="42"/>
  <c r="L80" i="42"/>
  <c r="G84" i="71"/>
  <c r="I80" i="71"/>
  <c r="E57" i="66"/>
  <c r="E66" i="66" s="1"/>
  <c r="E54" i="69"/>
  <c r="K52" i="70"/>
  <c r="K56" i="70" s="1"/>
  <c r="K35" i="70"/>
  <c r="M63" i="71"/>
  <c r="O82" i="71" s="1"/>
  <c r="L65" i="71"/>
  <c r="M82" i="71"/>
  <c r="L80" i="71"/>
  <c r="K61" i="71"/>
  <c r="I56" i="71"/>
  <c r="E65" i="66"/>
  <c r="N84" i="66"/>
  <c r="N86" i="66" s="1"/>
  <c r="E61" i="42"/>
  <c r="N35" i="70"/>
  <c r="N52" i="70"/>
  <c r="N56" i="70" s="1"/>
  <c r="G56" i="70"/>
  <c r="G80" i="70"/>
  <c r="I52" i="70"/>
  <c r="J61" i="71"/>
  <c r="H65" i="71"/>
  <c r="P31" i="70"/>
  <c r="L52" i="70"/>
  <c r="Q31" i="70"/>
  <c r="L31" i="42" a="1"/>
  <c r="L32" i="42" a="1"/>
  <c r="F10" i="7"/>
  <c r="L33" i="42" a="1"/>
  <c r="F9" i="7"/>
  <c r="G42" i="42" l="1"/>
  <c r="G44" i="42" s="1"/>
  <c r="L35" i="70"/>
  <c r="F13" i="71"/>
  <c r="F16" i="71" s="1"/>
  <c r="E59" i="66"/>
  <c r="F42" i="69"/>
  <c r="F44" i="69" s="1"/>
  <c r="P81" i="71"/>
  <c r="L33" i="42"/>
  <c r="L31" i="42"/>
  <c r="L32" i="42"/>
  <c r="N80" i="42"/>
  <c r="L84" i="42"/>
  <c r="E65" i="42"/>
  <c r="G61" i="42"/>
  <c r="N80" i="71"/>
  <c r="L84" i="71"/>
  <c r="J80" i="71"/>
  <c r="J84" i="71" s="1"/>
  <c r="J65" i="71"/>
  <c r="F65" i="42"/>
  <c r="G63" i="42"/>
  <c r="E35" i="69"/>
  <c r="E52" i="69"/>
  <c r="I56" i="70"/>
  <c r="L80" i="70"/>
  <c r="E68" i="66"/>
  <c r="H84" i="71"/>
  <c r="I13" i="71" s="1"/>
  <c r="I82" i="71"/>
  <c r="K82" i="71" s="1"/>
  <c r="I80" i="70"/>
  <c r="G84" i="70"/>
  <c r="M84" i="71"/>
  <c r="N82" i="71"/>
  <c r="P82" i="71" s="1"/>
  <c r="L86" i="44"/>
  <c r="F107" i="44"/>
  <c r="F110" i="44" s="1"/>
  <c r="F63" i="69"/>
  <c r="H40" i="70"/>
  <c r="G31" i="69"/>
  <c r="D15" i="65"/>
  <c r="E70" i="66"/>
  <c r="N84" i="44"/>
  <c r="N86" i="44" s="1"/>
  <c r="E57" i="44"/>
  <c r="J86" i="44"/>
  <c r="Q32" i="70"/>
  <c r="K41" i="70" s="1"/>
  <c r="M41" i="70" s="1"/>
  <c r="P32" i="70"/>
  <c r="H41" i="70" s="1"/>
  <c r="J41" i="70" s="1"/>
  <c r="L53" i="70"/>
  <c r="K86" i="44"/>
  <c r="K40" i="70"/>
  <c r="L54" i="70"/>
  <c r="Q33" i="70"/>
  <c r="L42" i="70" s="1"/>
  <c r="P33" i="70"/>
  <c r="I42" i="70" s="1"/>
  <c r="E13" i="71"/>
  <c r="E16" i="71" s="1"/>
  <c r="D16" i="71"/>
  <c r="P52" i="70"/>
  <c r="Q52" i="70"/>
  <c r="K61" i="70" s="1"/>
  <c r="K65" i="71"/>
  <c r="M61" i="71"/>
  <c r="E61" i="70"/>
  <c r="F13" i="7"/>
  <c r="F12" i="7"/>
  <c r="N31" i="69" a="1"/>
  <c r="K31" i="69" a="1"/>
  <c r="G65" i="42" l="1"/>
  <c r="G42" i="69"/>
  <c r="K80" i="71"/>
  <c r="K84" i="71" s="1"/>
  <c r="I84" i="71"/>
  <c r="K31" i="69"/>
  <c r="N31" i="69"/>
  <c r="M61" i="70"/>
  <c r="I44" i="70"/>
  <c r="J42" i="70"/>
  <c r="M65" i="71"/>
  <c r="O80" i="71"/>
  <c r="O84" i="71" s="1"/>
  <c r="M42" i="70"/>
  <c r="L44" i="70"/>
  <c r="E64" i="66"/>
  <c r="E71" i="66"/>
  <c r="H73" i="70"/>
  <c r="S73" i="70" s="1"/>
  <c r="Q54" i="70"/>
  <c r="L63" i="70" s="1"/>
  <c r="P54" i="70"/>
  <c r="I63" i="70" s="1"/>
  <c r="P53" i="70"/>
  <c r="H62" i="70" s="1"/>
  <c r="J62" i="70" s="1"/>
  <c r="J81" i="70" s="1"/>
  <c r="K81" i="70" s="1"/>
  <c r="Q53" i="70"/>
  <c r="K62" i="70" s="1"/>
  <c r="M62" i="70" s="1"/>
  <c r="O81" i="70" s="1"/>
  <c r="P81" i="70" s="1"/>
  <c r="L56" i="70"/>
  <c r="M40" i="70"/>
  <c r="K44" i="70"/>
  <c r="G35" i="69"/>
  <c r="G52" i="69"/>
  <c r="I31" i="69"/>
  <c r="E65" i="70"/>
  <c r="G61" i="70"/>
  <c r="G65" i="70" s="1"/>
  <c r="J40" i="70"/>
  <c r="H44" i="70"/>
  <c r="N87" i="65"/>
  <c r="E60" i="65" s="1"/>
  <c r="E69" i="65" s="1"/>
  <c r="H61" i="70"/>
  <c r="P35" i="70"/>
  <c r="N83" i="65"/>
  <c r="E56" i="65"/>
  <c r="Q32" i="42"/>
  <c r="K41" i="42" s="1"/>
  <c r="M41" i="42" s="1"/>
  <c r="L53" i="42"/>
  <c r="P32" i="42"/>
  <c r="H41" i="42" s="1"/>
  <c r="J41" i="42" s="1"/>
  <c r="L84" i="70"/>
  <c r="N80" i="70"/>
  <c r="E66" i="44"/>
  <c r="E70" i="44"/>
  <c r="E59" i="44"/>
  <c r="F65" i="69"/>
  <c r="G63" i="69"/>
  <c r="L13" i="71"/>
  <c r="L16" i="71" s="1"/>
  <c r="I16" i="71"/>
  <c r="L52" i="42"/>
  <c r="L35" i="42"/>
  <c r="P31" i="42"/>
  <c r="Q31" i="42"/>
  <c r="N84" i="71"/>
  <c r="Q35" i="70"/>
  <c r="J31" i="70" s="1"/>
  <c r="E56" i="69"/>
  <c r="L54" i="42"/>
  <c r="Q33" i="42"/>
  <c r="L42" i="42" s="1"/>
  <c r="P33" i="42"/>
  <c r="I42" i="42" s="1"/>
  <c r="D10" i="7"/>
  <c r="F14" i="7"/>
  <c r="D13" i="7"/>
  <c r="C13" i="70" l="1"/>
  <c r="C16" i="70" s="1"/>
  <c r="M44" i="70"/>
  <c r="D13" i="70" s="1"/>
  <c r="D16" i="70" s="1"/>
  <c r="J44" i="70"/>
  <c r="M86" i="65"/>
  <c r="E65" i="65"/>
  <c r="Q54" i="42"/>
  <c r="L63" i="42" s="1"/>
  <c r="P54" i="42"/>
  <c r="I63" i="42" s="1"/>
  <c r="H73" i="42"/>
  <c r="S73" i="42" s="1"/>
  <c r="E68" i="44"/>
  <c r="I35" i="69"/>
  <c r="J63" i="70"/>
  <c r="J82" i="70" s="1"/>
  <c r="H82" i="70"/>
  <c r="I65" i="70"/>
  <c r="H13" i="71"/>
  <c r="H16" i="71" s="1"/>
  <c r="G13" i="71"/>
  <c r="G16" i="71" s="1"/>
  <c r="L44" i="42"/>
  <c r="M42" i="42"/>
  <c r="L56" i="42"/>
  <c r="P52" i="42"/>
  <c r="Q52" i="42"/>
  <c r="G80" i="69"/>
  <c r="G56" i="69"/>
  <c r="I52" i="69"/>
  <c r="M82" i="70"/>
  <c r="L65" i="70"/>
  <c r="M63" i="70"/>
  <c r="O82" i="70" s="1"/>
  <c r="E64" i="44"/>
  <c r="E71" i="44"/>
  <c r="J61" i="70"/>
  <c r="H65" i="70"/>
  <c r="Q56" i="70"/>
  <c r="J52" i="70" s="1"/>
  <c r="V73" i="70"/>
  <c r="U73" i="70"/>
  <c r="S75" i="70"/>
  <c r="P56" i="70"/>
  <c r="E88" i="66"/>
  <c r="E72" i="66"/>
  <c r="K65" i="70"/>
  <c r="P80" i="71"/>
  <c r="P84" i="71" s="1"/>
  <c r="Q53" i="42"/>
  <c r="K62" i="42" s="1"/>
  <c r="M62" i="42" s="1"/>
  <c r="O81" i="42" s="1"/>
  <c r="P81" i="42" s="1"/>
  <c r="P53" i="42"/>
  <c r="H62" i="42" s="1"/>
  <c r="J62" i="42" s="1"/>
  <c r="J81" i="42" s="1"/>
  <c r="K81" i="42" s="1"/>
  <c r="O80" i="70"/>
  <c r="P35" i="42"/>
  <c r="H40" i="42"/>
  <c r="J13" i="71"/>
  <c r="K13" i="71"/>
  <c r="K16" i="71" s="1"/>
  <c r="N52" i="69"/>
  <c r="N56" i="69" s="1"/>
  <c r="N35" i="69"/>
  <c r="I44" i="42"/>
  <c r="J42" i="42"/>
  <c r="Q35" i="42"/>
  <c r="J31" i="42" s="1"/>
  <c r="K40" i="42"/>
  <c r="K52" i="69"/>
  <c r="K35" i="69"/>
  <c r="E40" i="69"/>
  <c r="L32" i="69" a="1"/>
  <c r="X8" i="64"/>
  <c r="L31" i="69" a="1"/>
  <c r="E9" i="7"/>
  <c r="F21" i="7"/>
  <c r="X4" i="64"/>
  <c r="D14" i="7"/>
  <c r="L33" i="69" a="1"/>
  <c r="F8" i="10"/>
  <c r="D12" i="7"/>
  <c r="F4" i="10"/>
  <c r="M65" i="70" l="1"/>
  <c r="G13" i="70" s="1"/>
  <c r="G16" i="70" s="1"/>
  <c r="O84" i="70"/>
  <c r="E13" i="70"/>
  <c r="E16" i="70" s="1"/>
  <c r="F13" i="70"/>
  <c r="F16" i="70" s="1"/>
  <c r="H9" i="7"/>
  <c r="L31" i="69"/>
  <c r="Y8" i="64"/>
  <c r="X17" i="64" s="1"/>
  <c r="L33" i="69"/>
  <c r="L32" i="69"/>
  <c r="M40" i="42"/>
  <c r="M44" i="42" s="1"/>
  <c r="D13" i="42" s="1"/>
  <c r="K44" i="42"/>
  <c r="J40" i="42"/>
  <c r="J44" i="42" s="1"/>
  <c r="H44" i="42"/>
  <c r="C13" i="42" s="1"/>
  <c r="C16" i="42" s="1"/>
  <c r="I56" i="69"/>
  <c r="L80" i="69"/>
  <c r="N84" i="65"/>
  <c r="N86" i="65" s="1"/>
  <c r="E57" i="65"/>
  <c r="J86" i="65"/>
  <c r="M13" i="71"/>
  <c r="J16" i="71"/>
  <c r="P56" i="42"/>
  <c r="H61" i="42"/>
  <c r="J80" i="70"/>
  <c r="J65" i="70"/>
  <c r="I62" i="66"/>
  <c r="J62" i="66" s="1"/>
  <c r="I61" i="66"/>
  <c r="J61" i="66" s="1"/>
  <c r="I59" i="66"/>
  <c r="J59" i="66" s="1"/>
  <c r="E89" i="66"/>
  <c r="I58" i="66"/>
  <c r="J58" i="66" s="1"/>
  <c r="I65" i="66"/>
  <c r="J65" i="66" s="1"/>
  <c r="I60" i="66"/>
  <c r="J60" i="66" s="1"/>
  <c r="I69" i="66"/>
  <c r="J69" i="66" s="1"/>
  <c r="I66" i="66"/>
  <c r="J66" i="66" s="1"/>
  <c r="I63" i="66"/>
  <c r="J63" i="66" s="1"/>
  <c r="I68" i="66"/>
  <c r="J68" i="66" s="1"/>
  <c r="I67" i="66"/>
  <c r="J67" i="66" s="1"/>
  <c r="I64" i="66"/>
  <c r="J64" i="66" s="1"/>
  <c r="I70" i="66"/>
  <c r="J70" i="66" s="1"/>
  <c r="I57" i="66"/>
  <c r="J57" i="66" s="1"/>
  <c r="I71" i="66"/>
  <c r="J71" i="66" s="1"/>
  <c r="E72" i="44"/>
  <c r="E88" i="44"/>
  <c r="G84" i="69"/>
  <c r="I80" i="69"/>
  <c r="V73" i="42"/>
  <c r="S75" i="42"/>
  <c r="U73" i="42"/>
  <c r="L86" i="65"/>
  <c r="F107" i="65"/>
  <c r="F110" i="65" s="1"/>
  <c r="K56" i="69"/>
  <c r="E61" i="69"/>
  <c r="H82" i="42"/>
  <c r="J63" i="42"/>
  <c r="J82" i="42" s="1"/>
  <c r="I65" i="42"/>
  <c r="K86" i="65"/>
  <c r="E82" i="70"/>
  <c r="V75" i="70"/>
  <c r="N82" i="70"/>
  <c r="M84" i="70"/>
  <c r="E44" i="69"/>
  <c r="G40" i="69"/>
  <c r="G44" i="69" s="1"/>
  <c r="P80" i="70"/>
  <c r="L65" i="42"/>
  <c r="M82" i="42"/>
  <c r="M63" i="42"/>
  <c r="O82" i="42" s="1"/>
  <c r="U75" i="70"/>
  <c r="D82" i="70"/>
  <c r="D84" i="70" s="1"/>
  <c r="Q56" i="42"/>
  <c r="J52" i="42" s="1"/>
  <c r="K61" i="42"/>
  <c r="I82" i="70"/>
  <c r="K82" i="70" s="1"/>
  <c r="H84" i="70"/>
  <c r="Q8" i="64"/>
  <c r="D21" i="7"/>
  <c r="F7" i="10"/>
  <c r="E8" i="10"/>
  <c r="X7" i="64"/>
  <c r="H13" i="70" l="1"/>
  <c r="H16" i="70" s="1"/>
  <c r="Y7" i="64"/>
  <c r="X9" i="64"/>
  <c r="Y9" i="64" s="1"/>
  <c r="F10" i="10"/>
  <c r="F9" i="10"/>
  <c r="R8" i="64"/>
  <c r="Q17" i="64" s="1"/>
  <c r="D16" i="42"/>
  <c r="E13" i="42"/>
  <c r="E16" i="42" s="1"/>
  <c r="V75" i="42"/>
  <c r="E82" i="42"/>
  <c r="J84" i="70"/>
  <c r="K80" i="70"/>
  <c r="K84" i="70" s="1"/>
  <c r="Q32" i="69"/>
  <c r="K41" i="69" s="1"/>
  <c r="M41" i="69" s="1"/>
  <c r="L53" i="69"/>
  <c r="P32" i="69"/>
  <c r="H41" i="69" s="1"/>
  <c r="J41" i="69" s="1"/>
  <c r="I82" i="42"/>
  <c r="K82" i="42" s="1"/>
  <c r="H84" i="42"/>
  <c r="H65" i="42"/>
  <c r="F13" i="42" s="1"/>
  <c r="F16" i="42" s="1"/>
  <c r="J61" i="42"/>
  <c r="N80" i="69"/>
  <c r="L84" i="69"/>
  <c r="P33" i="69"/>
  <c r="I42" i="69" s="1"/>
  <c r="Q33" i="69"/>
  <c r="L42" i="69" s="1"/>
  <c r="L54" i="69"/>
  <c r="E65" i="69"/>
  <c r="G61" i="69"/>
  <c r="G65" i="69" s="1"/>
  <c r="W18" i="64"/>
  <c r="Z18" i="64" s="1"/>
  <c r="K65" i="42"/>
  <c r="M61" i="42"/>
  <c r="P82" i="70"/>
  <c r="P84" i="70" s="1"/>
  <c r="N84" i="70"/>
  <c r="I68" i="44"/>
  <c r="J68" i="44" s="1"/>
  <c r="I57" i="44"/>
  <c r="J57" i="44" s="1"/>
  <c r="I70" i="44"/>
  <c r="J70" i="44" s="1"/>
  <c r="I65" i="44"/>
  <c r="J65" i="44" s="1"/>
  <c r="I59" i="44"/>
  <c r="J59" i="44" s="1"/>
  <c r="I63" i="44"/>
  <c r="J63" i="44" s="1"/>
  <c r="I61" i="44"/>
  <c r="J61" i="44" s="1"/>
  <c r="I67" i="44"/>
  <c r="J67" i="44" s="1"/>
  <c r="I58" i="44"/>
  <c r="J58" i="44" s="1"/>
  <c r="I64" i="44"/>
  <c r="J64" i="44" s="1"/>
  <c r="E89" i="44"/>
  <c r="I69" i="44"/>
  <c r="J69" i="44" s="1"/>
  <c r="I60" i="44"/>
  <c r="J60" i="44" s="1"/>
  <c r="I71" i="44"/>
  <c r="J71" i="44" s="1"/>
  <c r="I62" i="44"/>
  <c r="J62" i="44" s="1"/>
  <c r="I66" i="44"/>
  <c r="J66" i="44" s="1"/>
  <c r="M16" i="71"/>
  <c r="N13" i="71"/>
  <c r="N16" i="71"/>
  <c r="M84" i="42"/>
  <c r="N82" i="42"/>
  <c r="F82" i="70"/>
  <c r="E84" i="70"/>
  <c r="F84" i="70" s="1"/>
  <c r="L52" i="69"/>
  <c r="Q31" i="69"/>
  <c r="P31" i="69"/>
  <c r="L35" i="69"/>
  <c r="I13" i="70"/>
  <c r="I84" i="70"/>
  <c r="D82" i="42"/>
  <c r="D84" i="42" s="1"/>
  <c r="U75" i="42"/>
  <c r="J72" i="66"/>
  <c r="E66" i="65"/>
  <c r="E70" i="65"/>
  <c r="E59" i="65"/>
  <c r="F22" i="7"/>
  <c r="E13" i="7"/>
  <c r="E10" i="7"/>
  <c r="H13" i="7" l="1"/>
  <c r="H10" i="7"/>
  <c r="L13" i="70"/>
  <c r="L16" i="70" s="1"/>
  <c r="I16" i="70"/>
  <c r="I44" i="69"/>
  <c r="J42" i="69"/>
  <c r="P53" i="69"/>
  <c r="H62" i="69" s="1"/>
  <c r="J62" i="69" s="1"/>
  <c r="J81" i="69" s="1"/>
  <c r="K81" i="69" s="1"/>
  <c r="Q53" i="69"/>
  <c r="K62" i="69" s="1"/>
  <c r="M62" i="69" s="1"/>
  <c r="O81" i="69" s="1"/>
  <c r="P81" i="69" s="1"/>
  <c r="J72" i="44"/>
  <c r="P18" i="64"/>
  <c r="S18" i="64" s="1"/>
  <c r="E64" i="65"/>
  <c r="E71" i="65"/>
  <c r="Q35" i="69"/>
  <c r="J31" i="69" s="1"/>
  <c r="K40" i="69"/>
  <c r="J80" i="42"/>
  <c r="J65" i="42"/>
  <c r="Q52" i="69"/>
  <c r="L56" i="69"/>
  <c r="P52" i="69"/>
  <c r="J13" i="70"/>
  <c r="K13" i="70"/>
  <c r="K16" i="70" s="1"/>
  <c r="P35" i="69"/>
  <c r="H40" i="69"/>
  <c r="E68" i="65"/>
  <c r="E84" i="42"/>
  <c r="F84" i="42" s="1"/>
  <c r="F82" i="42"/>
  <c r="M65" i="42"/>
  <c r="O80" i="42"/>
  <c r="Q54" i="69"/>
  <c r="L63" i="69" s="1"/>
  <c r="P54" i="69"/>
  <c r="I63" i="69" s="1"/>
  <c r="H73" i="69"/>
  <c r="S73" i="69" s="1"/>
  <c r="I13" i="42"/>
  <c r="I84" i="42"/>
  <c r="E90" i="66"/>
  <c r="P82" i="42"/>
  <c r="N84" i="42"/>
  <c r="L44" i="69"/>
  <c r="M42" i="69"/>
  <c r="E14" i="7"/>
  <c r="Q4" i="64"/>
  <c r="E12" i="7"/>
  <c r="D22" i="7"/>
  <c r="E4" i="10"/>
  <c r="H14" i="7" l="1"/>
  <c r="H12" i="7"/>
  <c r="L65" i="69"/>
  <c r="M82" i="69"/>
  <c r="M63" i="69"/>
  <c r="O82" i="69" s="1"/>
  <c r="J13" i="42"/>
  <c r="K13" i="42"/>
  <c r="K16" i="42" s="1"/>
  <c r="O84" i="42"/>
  <c r="P80" i="42"/>
  <c r="P84" i="42" s="1"/>
  <c r="M13" i="70"/>
  <c r="J16" i="70"/>
  <c r="E88" i="65"/>
  <c r="E72" i="65"/>
  <c r="G13" i="42"/>
  <c r="G16" i="42" s="1"/>
  <c r="H13" i="42"/>
  <c r="H16" i="42" s="1"/>
  <c r="P56" i="69"/>
  <c r="H61" i="69"/>
  <c r="Q56" i="69"/>
  <c r="J52" i="69" s="1"/>
  <c r="K61" i="69"/>
  <c r="L13" i="42"/>
  <c r="L16" i="42" s="1"/>
  <c r="I16" i="42"/>
  <c r="U73" i="69"/>
  <c r="V73" i="69"/>
  <c r="S75" i="69"/>
  <c r="H44" i="69"/>
  <c r="C13" i="69" s="1"/>
  <c r="C16" i="69" s="1"/>
  <c r="J40" i="69"/>
  <c r="J44" i="69" s="1"/>
  <c r="J84" i="42"/>
  <c r="K80" i="42"/>
  <c r="K84" i="42" s="1"/>
  <c r="I65" i="69"/>
  <c r="J63" i="69"/>
  <c r="J82" i="69" s="1"/>
  <c r="H82" i="69"/>
  <c r="K44" i="69"/>
  <c r="M40" i="69"/>
  <c r="M44" i="69" s="1"/>
  <c r="D13" i="69" s="1"/>
  <c r="E90" i="44"/>
  <c r="E7" i="10"/>
  <c r="C8" i="10"/>
  <c r="C4" i="10"/>
  <c r="C8" i="64"/>
  <c r="Q7" i="64"/>
  <c r="C4" i="64"/>
  <c r="E21" i="7"/>
  <c r="D8" i="64" l="1"/>
  <c r="C17" i="64" s="1"/>
  <c r="H21" i="7"/>
  <c r="Q9" i="64"/>
  <c r="R9" i="64" s="1"/>
  <c r="R7" i="64"/>
  <c r="E9" i="10"/>
  <c r="E10" i="10"/>
  <c r="I82" i="69"/>
  <c r="K82" i="69" s="1"/>
  <c r="H84" i="69"/>
  <c r="E82" i="69"/>
  <c r="V75" i="69"/>
  <c r="U75" i="69"/>
  <c r="D82" i="69"/>
  <c r="D84" i="69" s="1"/>
  <c r="M13" i="42"/>
  <c r="J16" i="42"/>
  <c r="I64" i="65"/>
  <c r="J64" i="65" s="1"/>
  <c r="I67" i="65"/>
  <c r="J67" i="65" s="1"/>
  <c r="I61" i="65"/>
  <c r="J61" i="65" s="1"/>
  <c r="I60" i="65"/>
  <c r="J60" i="65" s="1"/>
  <c r="I57" i="65"/>
  <c r="J57" i="65" s="1"/>
  <c r="I66" i="65"/>
  <c r="J66" i="65" s="1"/>
  <c r="I71" i="65"/>
  <c r="J71" i="65" s="1"/>
  <c r="I69" i="65"/>
  <c r="J69" i="65" s="1"/>
  <c r="I58" i="65"/>
  <c r="J58" i="65" s="1"/>
  <c r="E89" i="65"/>
  <c r="I62" i="65"/>
  <c r="J62" i="65" s="1"/>
  <c r="I59" i="65"/>
  <c r="J59" i="65" s="1"/>
  <c r="I68" i="65"/>
  <c r="J68" i="65" s="1"/>
  <c r="I70" i="65"/>
  <c r="J70" i="65" s="1"/>
  <c r="I63" i="65"/>
  <c r="J63" i="65" s="1"/>
  <c r="I65" i="65"/>
  <c r="J65" i="65" s="1"/>
  <c r="M84" i="69"/>
  <c r="N82" i="69"/>
  <c r="K65" i="69"/>
  <c r="M61" i="69"/>
  <c r="N16" i="70"/>
  <c r="M16" i="70"/>
  <c r="N13" i="70"/>
  <c r="D16" i="69"/>
  <c r="E13" i="69"/>
  <c r="E16" i="69" s="1"/>
  <c r="J61" i="69"/>
  <c r="H65" i="69"/>
  <c r="F13" i="69" s="1"/>
  <c r="F16" i="69" s="1"/>
  <c r="C7" i="64"/>
  <c r="C7" i="10"/>
  <c r="C10" i="10" l="1"/>
  <c r="C9" i="10"/>
  <c r="D7" i="64"/>
  <c r="C9" i="64"/>
  <c r="D9" i="64" s="1"/>
  <c r="M16" i="42"/>
  <c r="N16" i="42"/>
  <c r="N13" i="42"/>
  <c r="J72" i="65"/>
  <c r="M65" i="69"/>
  <c r="O80" i="69"/>
  <c r="F82" i="69"/>
  <c r="E84" i="69"/>
  <c r="F84" i="69" s="1"/>
  <c r="J80" i="69"/>
  <c r="J65" i="69"/>
  <c r="P82" i="69"/>
  <c r="N84" i="69"/>
  <c r="I13" i="69"/>
  <c r="I84" i="69"/>
  <c r="C18" i="64"/>
  <c r="B18" i="64"/>
  <c r="E18" i="64" s="1"/>
  <c r="X18" i="64"/>
  <c r="Q18" i="64"/>
  <c r="E22" i="7"/>
  <c r="H22" i="7" l="1"/>
  <c r="P19" i="64"/>
  <c r="S19" i="64" s="1"/>
  <c r="Q19" i="64"/>
  <c r="X19" i="64"/>
  <c r="W19" i="64"/>
  <c r="Z19" i="64" s="1"/>
  <c r="J84" i="69"/>
  <c r="K80" i="69"/>
  <c r="K84" i="69" s="1"/>
  <c r="F18" i="64"/>
  <c r="G18" i="64" s="1"/>
  <c r="AA17" i="64"/>
  <c r="AB17" i="64" s="1"/>
  <c r="T18" i="64"/>
  <c r="U18" i="64" s="1"/>
  <c r="F17" i="64"/>
  <c r="G17" i="64" s="1"/>
  <c r="T17" i="64"/>
  <c r="U17" i="64" s="1"/>
  <c r="AA18" i="64"/>
  <c r="AB18" i="64" s="1"/>
  <c r="C19" i="64"/>
  <c r="B19" i="64"/>
  <c r="E19" i="64" s="1"/>
  <c r="O84" i="69"/>
  <c r="P80" i="69"/>
  <c r="P84" i="69" s="1"/>
  <c r="I16" i="69"/>
  <c r="L13" i="69"/>
  <c r="L16" i="69" s="1"/>
  <c r="H13" i="69"/>
  <c r="H16" i="69" s="1"/>
  <c r="G13" i="69"/>
  <c r="G16" i="69" s="1"/>
  <c r="K13" i="69"/>
  <c r="K16" i="69" s="1"/>
  <c r="J13" i="69"/>
  <c r="E90" i="65"/>
  <c r="D8" i="10"/>
  <c r="J8" i="64"/>
  <c r="D4" i="10"/>
  <c r="J4" i="64"/>
  <c r="AA19" i="64" l="1"/>
  <c r="AB19" i="64" s="1"/>
  <c r="F19" i="64"/>
  <c r="G19" i="64" s="1"/>
  <c r="G4" i="10"/>
  <c r="K8" i="64"/>
  <c r="J17" i="64" s="1"/>
  <c r="G8" i="10"/>
  <c r="M13" i="69"/>
  <c r="J16" i="69"/>
  <c r="X20" i="64"/>
  <c r="W20" i="64"/>
  <c r="B20" i="64"/>
  <c r="C20" i="64"/>
  <c r="T19" i="64"/>
  <c r="U19" i="64" s="1"/>
  <c r="Q20" i="64"/>
  <c r="P20" i="64"/>
  <c r="D7" i="10"/>
  <c r="J7" i="64"/>
  <c r="J9" i="64" l="1"/>
  <c r="K9" i="64" s="1"/>
  <c r="K7" i="64"/>
  <c r="D10" i="10"/>
  <c r="D9" i="10"/>
  <c r="G7" i="10"/>
  <c r="E20" i="64"/>
  <c r="F20" i="64"/>
  <c r="Z20" i="64"/>
  <c r="AA20" i="64"/>
  <c r="X21" i="64"/>
  <c r="W21" i="64"/>
  <c r="S20" i="64"/>
  <c r="T20" i="64"/>
  <c r="N13" i="69"/>
  <c r="N16" i="69"/>
  <c r="M16" i="69"/>
  <c r="P21" i="64"/>
  <c r="Q21" i="64"/>
  <c r="I18" i="64"/>
  <c r="J18" i="64"/>
  <c r="M17" i="64"/>
  <c r="N17" i="64" s="1"/>
  <c r="B21" i="64"/>
  <c r="C21" i="64"/>
  <c r="AB20" i="64" l="1"/>
  <c r="U20" i="64"/>
  <c r="G20" i="64"/>
  <c r="G10" i="10"/>
  <c r="G9" i="10"/>
  <c r="B22" i="64"/>
  <c r="C22" i="64"/>
  <c r="E21" i="64"/>
  <c r="F21" i="64"/>
  <c r="I19" i="64"/>
  <c r="J19" i="64"/>
  <c r="L18" i="64"/>
  <c r="M18" i="64"/>
  <c r="Z21" i="64"/>
  <c r="AA21" i="64"/>
  <c r="P22" i="64"/>
  <c r="Q22" i="64"/>
  <c r="X22" i="64"/>
  <c r="W22" i="64"/>
  <c r="S21" i="64"/>
  <c r="T21" i="64"/>
  <c r="W23" i="64" l="1"/>
  <c r="X23" i="64"/>
  <c r="L19" i="64"/>
  <c r="M19" i="64"/>
  <c r="P23" i="64"/>
  <c r="Q23" i="64"/>
  <c r="S22" i="64"/>
  <c r="T22" i="64"/>
  <c r="G21" i="64"/>
  <c r="C23" i="64"/>
  <c r="B23" i="64"/>
  <c r="AB21" i="64"/>
  <c r="E22" i="64"/>
  <c r="F22" i="64"/>
  <c r="U21" i="64"/>
  <c r="N18" i="64"/>
  <c r="Z22" i="64"/>
  <c r="AA22" i="64"/>
  <c r="J20" i="64"/>
  <c r="I20" i="64"/>
  <c r="U22" i="64" l="1"/>
  <c r="Q24" i="64"/>
  <c r="P24" i="64"/>
  <c r="G22" i="64"/>
  <c r="S23" i="64"/>
  <c r="T23" i="64"/>
  <c r="L20" i="64"/>
  <c r="M20" i="64"/>
  <c r="I21" i="64"/>
  <c r="J21" i="64"/>
  <c r="E23" i="64"/>
  <c r="F23" i="64"/>
  <c r="N19" i="64"/>
  <c r="B24" i="64"/>
  <c r="C24" i="64"/>
  <c r="X24" i="64"/>
  <c r="W24" i="64"/>
  <c r="AB22" i="64"/>
  <c r="Z23" i="64"/>
  <c r="AA23" i="64"/>
  <c r="G23" i="64" l="1"/>
  <c r="Z24" i="64"/>
  <c r="AA24" i="64"/>
  <c r="L21" i="64"/>
  <c r="M21" i="64"/>
  <c r="W25" i="64"/>
  <c r="X25" i="64"/>
  <c r="C25" i="64"/>
  <c r="B25" i="64"/>
  <c r="N20" i="64"/>
  <c r="E24" i="64"/>
  <c r="F24" i="64"/>
  <c r="U23" i="64"/>
  <c r="S24" i="64"/>
  <c r="T24" i="64"/>
  <c r="AB23" i="64"/>
  <c r="J22" i="64"/>
  <c r="I22" i="64"/>
  <c r="P25" i="64"/>
  <c r="Q25" i="64"/>
  <c r="N21" i="64" l="1"/>
  <c r="X26" i="64"/>
  <c r="W26" i="64"/>
  <c r="U24" i="64"/>
  <c r="Z25" i="64"/>
  <c r="AA25" i="64"/>
  <c r="I23" i="64"/>
  <c r="J23" i="64"/>
  <c r="E25" i="64"/>
  <c r="F25" i="64"/>
  <c r="C26" i="64"/>
  <c r="B26" i="64"/>
  <c r="P26" i="64"/>
  <c r="Q26" i="64"/>
  <c r="S25" i="64"/>
  <c r="T25" i="64"/>
  <c r="G24" i="64"/>
  <c r="L22" i="64"/>
  <c r="M22" i="64"/>
  <c r="AB24" i="64"/>
  <c r="N22" i="64" l="1"/>
  <c r="G25" i="64"/>
  <c r="J24" i="64"/>
  <c r="I24" i="64"/>
  <c r="U25" i="64"/>
  <c r="L23" i="64"/>
  <c r="M23" i="64"/>
  <c r="Q27" i="64"/>
  <c r="P27" i="64"/>
  <c r="AB25" i="64"/>
  <c r="S26" i="64"/>
  <c r="T26" i="64"/>
  <c r="E26" i="64"/>
  <c r="F26" i="64"/>
  <c r="C27" i="64"/>
  <c r="B27" i="64"/>
  <c r="Z26" i="64"/>
  <c r="AA26" i="64"/>
  <c r="W27" i="64"/>
  <c r="X27" i="64"/>
  <c r="AB26" i="64" l="1"/>
  <c r="S27" i="64"/>
  <c r="T27" i="64"/>
  <c r="E27" i="64"/>
  <c r="F27" i="64"/>
  <c r="P28" i="64"/>
  <c r="Q28" i="64"/>
  <c r="B28" i="64"/>
  <c r="C28" i="64"/>
  <c r="N23" i="64"/>
  <c r="G26" i="64"/>
  <c r="W28" i="64"/>
  <c r="X28" i="64"/>
  <c r="L24" i="64"/>
  <c r="M24" i="64"/>
  <c r="Z27" i="64"/>
  <c r="AA27" i="64"/>
  <c r="U26" i="64"/>
  <c r="J25" i="64"/>
  <c r="I25" i="64"/>
  <c r="AB27" i="64" l="1"/>
  <c r="N24" i="64"/>
  <c r="U27" i="64"/>
  <c r="P29" i="64"/>
  <c r="Q29" i="64"/>
  <c r="S28" i="64"/>
  <c r="T28" i="64"/>
  <c r="W29" i="64"/>
  <c r="X29" i="64"/>
  <c r="L25" i="64"/>
  <c r="M25" i="64"/>
  <c r="Z28" i="64"/>
  <c r="AA28" i="64"/>
  <c r="G27" i="64"/>
  <c r="J26" i="64"/>
  <c r="I26" i="64"/>
  <c r="E28" i="64"/>
  <c r="F28" i="64"/>
  <c r="C29" i="64"/>
  <c r="B29" i="64"/>
  <c r="B30" i="64" l="1"/>
  <c r="C30" i="64"/>
  <c r="N25" i="64"/>
  <c r="G28" i="64"/>
  <c r="W30" i="64"/>
  <c r="X30" i="64"/>
  <c r="L26" i="64"/>
  <c r="M26" i="64"/>
  <c r="Z29" i="64"/>
  <c r="AA29" i="64"/>
  <c r="I27" i="64"/>
  <c r="J27" i="64"/>
  <c r="U28" i="64"/>
  <c r="Q30" i="64"/>
  <c r="P30" i="64"/>
  <c r="E29" i="64"/>
  <c r="F29" i="64"/>
  <c r="AB28" i="64"/>
  <c r="S29" i="64"/>
  <c r="T29" i="64"/>
  <c r="G29" i="64" l="1"/>
  <c r="S30" i="64"/>
  <c r="T30" i="64"/>
  <c r="N26" i="64"/>
  <c r="Q31" i="64"/>
  <c r="P31" i="64"/>
  <c r="W31" i="64"/>
  <c r="X31" i="64"/>
  <c r="Z30" i="64"/>
  <c r="AA30" i="64"/>
  <c r="J28" i="64"/>
  <c r="I28" i="64"/>
  <c r="U29" i="64"/>
  <c r="L27" i="64"/>
  <c r="M27" i="64"/>
  <c r="B31" i="64"/>
  <c r="C31" i="64"/>
  <c r="AB29" i="64"/>
  <c r="E30" i="64"/>
  <c r="F30" i="64"/>
  <c r="AB30" i="64" l="1"/>
  <c r="G30" i="64"/>
  <c r="N27" i="64"/>
  <c r="C32" i="64"/>
  <c r="B32" i="64"/>
  <c r="E31" i="64"/>
  <c r="F31" i="64"/>
  <c r="X32" i="64"/>
  <c r="W32" i="64"/>
  <c r="Z31" i="64"/>
  <c r="AA31" i="64"/>
  <c r="S31" i="64"/>
  <c r="T31" i="64"/>
  <c r="Q32" i="64"/>
  <c r="P32" i="64"/>
  <c r="L28" i="64"/>
  <c r="M28" i="64"/>
  <c r="I29" i="64"/>
  <c r="J29" i="64"/>
  <c r="U30" i="64"/>
  <c r="N28" i="64" l="1"/>
  <c r="L29" i="64"/>
  <c r="M29" i="64"/>
  <c r="AB31" i="64"/>
  <c r="Z32" i="64"/>
  <c r="AA32" i="64"/>
  <c r="X33" i="64"/>
  <c r="W33" i="64"/>
  <c r="S32" i="64"/>
  <c r="T32" i="64"/>
  <c r="Q33" i="64"/>
  <c r="P33" i="64"/>
  <c r="G31" i="64"/>
  <c r="I30" i="64"/>
  <c r="J30" i="64"/>
  <c r="E32" i="64"/>
  <c r="F32" i="64"/>
  <c r="U31" i="64"/>
  <c r="B33" i="64"/>
  <c r="C33" i="64"/>
  <c r="U32" i="64" l="1"/>
  <c r="G32" i="64"/>
  <c r="Z33" i="64"/>
  <c r="AA33" i="64"/>
  <c r="J31" i="64"/>
  <c r="I31" i="64"/>
  <c r="X34" i="64"/>
  <c r="W34" i="64"/>
  <c r="AB32" i="64"/>
  <c r="L30" i="64"/>
  <c r="M30" i="64"/>
  <c r="C34" i="64"/>
  <c r="B34" i="64"/>
  <c r="S33" i="64"/>
  <c r="T33" i="64"/>
  <c r="E33" i="64"/>
  <c r="F33" i="64"/>
  <c r="P34" i="64"/>
  <c r="Q34" i="64"/>
  <c r="N29" i="64"/>
  <c r="X35" i="64" l="1"/>
  <c r="W35" i="64"/>
  <c r="G33" i="64"/>
  <c r="U33" i="64"/>
  <c r="L31" i="64"/>
  <c r="M31" i="64"/>
  <c r="E34" i="64"/>
  <c r="F34" i="64"/>
  <c r="J32" i="64"/>
  <c r="I32" i="64"/>
  <c r="C35" i="64"/>
  <c r="B35" i="64"/>
  <c r="AB33" i="64"/>
  <c r="Z34" i="64"/>
  <c r="AA34" i="64"/>
  <c r="P35" i="64"/>
  <c r="Q35" i="64"/>
  <c r="S34" i="64"/>
  <c r="T34" i="64"/>
  <c r="N30" i="64"/>
  <c r="G34" i="64" l="1"/>
  <c r="S35" i="64"/>
  <c r="T35" i="64"/>
  <c r="AB34" i="64"/>
  <c r="N31" i="64"/>
  <c r="E35" i="64"/>
  <c r="F35" i="64"/>
  <c r="B36" i="64"/>
  <c r="C36" i="64"/>
  <c r="U34" i="64"/>
  <c r="L32" i="64"/>
  <c r="M32" i="64"/>
  <c r="Z35" i="64"/>
  <c r="AA35" i="64"/>
  <c r="P36" i="64"/>
  <c r="Q36" i="64"/>
  <c r="J33" i="64"/>
  <c r="I33" i="64"/>
  <c r="X36" i="64"/>
  <c r="W36" i="64"/>
  <c r="N32" i="64" l="1"/>
  <c r="B37" i="64"/>
  <c r="C37" i="64"/>
  <c r="E36" i="64"/>
  <c r="F36" i="64"/>
  <c r="G35" i="64"/>
  <c r="S36" i="64"/>
  <c r="T36" i="64"/>
  <c r="AB35" i="64"/>
  <c r="Z36" i="64"/>
  <c r="AA36" i="64"/>
  <c r="J34" i="64"/>
  <c r="I34" i="64"/>
  <c r="P37" i="64"/>
  <c r="Q37" i="64"/>
  <c r="W37" i="64"/>
  <c r="X37" i="64"/>
  <c r="L33" i="64"/>
  <c r="M33" i="64"/>
  <c r="U35" i="64"/>
  <c r="Q38" i="64" l="1"/>
  <c r="P38" i="64"/>
  <c r="W38" i="64"/>
  <c r="X38" i="64"/>
  <c r="U36" i="64"/>
  <c r="G36" i="64"/>
  <c r="Z37" i="64"/>
  <c r="AA37" i="64"/>
  <c r="L34" i="64"/>
  <c r="M34" i="64"/>
  <c r="B38" i="64"/>
  <c r="C38" i="64"/>
  <c r="S37" i="64"/>
  <c r="T37" i="64"/>
  <c r="J35" i="64"/>
  <c r="I35" i="64"/>
  <c r="N33" i="64"/>
  <c r="AB36" i="64"/>
  <c r="E37" i="64"/>
  <c r="F37" i="64"/>
  <c r="N34" i="64" l="1"/>
  <c r="J36" i="64"/>
  <c r="I36" i="64"/>
  <c r="W39" i="64"/>
  <c r="X39" i="64"/>
  <c r="U37" i="64"/>
  <c r="G37" i="64"/>
  <c r="E38" i="64"/>
  <c r="F38" i="64"/>
  <c r="Z38" i="64"/>
  <c r="AA38" i="64"/>
  <c r="AB37" i="64"/>
  <c r="C39" i="64"/>
  <c r="B39" i="64"/>
  <c r="S38" i="64"/>
  <c r="T38" i="64"/>
  <c r="L35" i="64"/>
  <c r="M35" i="64"/>
  <c r="P39" i="64"/>
  <c r="Q39" i="64"/>
  <c r="AB38" i="64" l="1"/>
  <c r="U38" i="64"/>
  <c r="N35" i="64"/>
  <c r="B40" i="64"/>
  <c r="C40" i="64"/>
  <c r="X40" i="64"/>
  <c r="W40" i="64"/>
  <c r="P40" i="64"/>
  <c r="Q40" i="64"/>
  <c r="Z39" i="64"/>
  <c r="AA39" i="64"/>
  <c r="E39" i="64"/>
  <c r="F39" i="64"/>
  <c r="S39" i="64"/>
  <c r="T39" i="64"/>
  <c r="L36" i="64"/>
  <c r="M36" i="64"/>
  <c r="G38" i="64"/>
  <c r="I37" i="64"/>
  <c r="J37" i="64"/>
  <c r="U39" i="64" l="1"/>
  <c r="N36" i="64"/>
  <c r="AB39" i="64"/>
  <c r="L37" i="64"/>
  <c r="M37" i="64"/>
  <c r="Z40" i="64"/>
  <c r="AA40" i="64"/>
  <c r="W41" i="64"/>
  <c r="X41" i="64"/>
  <c r="P41" i="64"/>
  <c r="Q41" i="64"/>
  <c r="S40" i="64"/>
  <c r="T40" i="64"/>
  <c r="B41" i="64"/>
  <c r="C41" i="64"/>
  <c r="J38" i="64"/>
  <c r="I38" i="64"/>
  <c r="G39" i="64"/>
  <c r="E40" i="64"/>
  <c r="F40" i="64"/>
  <c r="L38" i="64" l="1"/>
  <c r="M38" i="64"/>
  <c r="AB40" i="64"/>
  <c r="Z41" i="64"/>
  <c r="AA41" i="64"/>
  <c r="S41" i="64"/>
  <c r="T41" i="64"/>
  <c r="I39" i="64"/>
  <c r="J39" i="64"/>
  <c r="E41" i="64"/>
  <c r="F41" i="64"/>
  <c r="U40" i="64"/>
  <c r="N37" i="64"/>
  <c r="X42" i="64"/>
  <c r="W42" i="64"/>
  <c r="B42" i="64"/>
  <c r="C42" i="64"/>
  <c r="G40" i="64"/>
  <c r="Q42" i="64"/>
  <c r="P42" i="64"/>
  <c r="G41" i="64" l="1"/>
  <c r="U41" i="64"/>
  <c r="E42" i="64"/>
  <c r="F42" i="64"/>
  <c r="L39" i="64"/>
  <c r="M39" i="64"/>
  <c r="S42" i="64"/>
  <c r="T42" i="64"/>
  <c r="AB41" i="64"/>
  <c r="W43" i="64"/>
  <c r="X43" i="64"/>
  <c r="P43" i="64"/>
  <c r="Q43" i="64"/>
  <c r="Z42" i="64"/>
  <c r="AA42" i="64"/>
  <c r="B43" i="64"/>
  <c r="C43" i="64"/>
  <c r="J40" i="64"/>
  <c r="I40" i="64"/>
  <c r="N38" i="64"/>
  <c r="E43" i="64" l="1"/>
  <c r="F43" i="64"/>
  <c r="N39" i="64"/>
  <c r="U42" i="64"/>
  <c r="B44" i="64"/>
  <c r="C44" i="64"/>
  <c r="L40" i="64"/>
  <c r="M40" i="64"/>
  <c r="G42" i="64"/>
  <c r="AB42" i="64"/>
  <c r="P44" i="64"/>
  <c r="Q44" i="64"/>
  <c r="S43" i="64"/>
  <c r="T43" i="64"/>
  <c r="X44" i="64"/>
  <c r="W44" i="64"/>
  <c r="J41" i="64"/>
  <c r="I41" i="64"/>
  <c r="Z43" i="64"/>
  <c r="AA43" i="64"/>
  <c r="AB43" i="64" l="1"/>
  <c r="N40" i="64"/>
  <c r="U43" i="64"/>
  <c r="E44" i="64"/>
  <c r="F44" i="64"/>
  <c r="P45" i="64"/>
  <c r="Q45" i="64"/>
  <c r="S44" i="64"/>
  <c r="T44" i="64"/>
  <c r="Z44" i="64"/>
  <c r="AA44" i="64"/>
  <c r="B45" i="64"/>
  <c r="C45" i="64"/>
  <c r="L41" i="64"/>
  <c r="M41" i="64"/>
  <c r="X45" i="64"/>
  <c r="W45" i="64"/>
  <c r="J42" i="64"/>
  <c r="I42" i="64"/>
  <c r="G43" i="64"/>
  <c r="G44" i="64" l="1"/>
  <c r="U44" i="64"/>
  <c r="AB44" i="64"/>
  <c r="Z45" i="64"/>
  <c r="AA45" i="64"/>
  <c r="P46" i="64"/>
  <c r="Q46" i="64"/>
  <c r="I43" i="64"/>
  <c r="J43" i="64"/>
  <c r="N41" i="64"/>
  <c r="S45" i="64"/>
  <c r="T45" i="64"/>
  <c r="X46" i="64"/>
  <c r="W46" i="64"/>
  <c r="C46" i="64"/>
  <c r="B46" i="64"/>
  <c r="E45" i="64"/>
  <c r="F45" i="64"/>
  <c r="L42" i="64"/>
  <c r="M42" i="64"/>
  <c r="N42" i="64" l="1"/>
  <c r="U45" i="64"/>
  <c r="J44" i="64"/>
  <c r="I44" i="64"/>
  <c r="Q47" i="64"/>
  <c r="P47" i="64"/>
  <c r="L43" i="64"/>
  <c r="M43" i="64"/>
  <c r="B47" i="64"/>
  <c r="C47" i="64"/>
  <c r="Z46" i="64"/>
  <c r="AA46" i="64"/>
  <c r="S46" i="64"/>
  <c r="T46" i="64"/>
  <c r="G45" i="64"/>
  <c r="E46" i="64"/>
  <c r="F46" i="64"/>
  <c r="W47" i="64"/>
  <c r="X47" i="64"/>
  <c r="AB45" i="64"/>
  <c r="C48" i="64" l="1"/>
  <c r="B48" i="64"/>
  <c r="Z47" i="64"/>
  <c r="AA47" i="64"/>
  <c r="G46" i="64"/>
  <c r="S47" i="64"/>
  <c r="T47" i="64"/>
  <c r="E47" i="64"/>
  <c r="F47" i="64"/>
  <c r="U46" i="64"/>
  <c r="Q48" i="64"/>
  <c r="P48" i="64"/>
  <c r="N43" i="64"/>
  <c r="L44" i="64"/>
  <c r="M44" i="64"/>
  <c r="X48" i="64"/>
  <c r="W48" i="64"/>
  <c r="AB46" i="64"/>
  <c r="I45" i="64"/>
  <c r="J45" i="64"/>
  <c r="G47" i="64" l="1"/>
  <c r="N44" i="64"/>
  <c r="U47" i="64"/>
  <c r="W49" i="64"/>
  <c r="X49" i="64"/>
  <c r="AB47" i="64"/>
  <c r="S48" i="64"/>
  <c r="T48" i="64"/>
  <c r="L45" i="64"/>
  <c r="M45" i="64"/>
  <c r="E48" i="64"/>
  <c r="F48" i="64"/>
  <c r="J46" i="64"/>
  <c r="I46" i="64"/>
  <c r="P49" i="64"/>
  <c r="Q49" i="64"/>
  <c r="Z48" i="64"/>
  <c r="AA48" i="64"/>
  <c r="B49" i="64"/>
  <c r="C49" i="64"/>
  <c r="U48" i="64" l="1"/>
  <c r="G48" i="64"/>
  <c r="E49" i="64"/>
  <c r="F49" i="64"/>
  <c r="AB48" i="64"/>
  <c r="Q50" i="64"/>
  <c r="P50" i="64"/>
  <c r="S49" i="64"/>
  <c r="T49" i="64"/>
  <c r="X50" i="64"/>
  <c r="W50" i="64"/>
  <c r="N45" i="64"/>
  <c r="L46" i="64"/>
  <c r="M46" i="64"/>
  <c r="I47" i="64"/>
  <c r="J47" i="64"/>
  <c r="C50" i="64"/>
  <c r="B50" i="64"/>
  <c r="Z49" i="64"/>
  <c r="AA49" i="64"/>
  <c r="U49" i="64" l="1"/>
  <c r="B51" i="64"/>
  <c r="C51" i="64"/>
  <c r="S50" i="64"/>
  <c r="T50" i="64"/>
  <c r="X51" i="64"/>
  <c r="W51" i="64"/>
  <c r="P51" i="64"/>
  <c r="Q51" i="64"/>
  <c r="I48" i="64"/>
  <c r="J48" i="64"/>
  <c r="N46" i="64"/>
  <c r="E50" i="64"/>
  <c r="F50" i="64"/>
  <c r="L47" i="64"/>
  <c r="M47" i="64"/>
  <c r="AB49" i="64"/>
  <c r="Z50" i="64"/>
  <c r="AA50" i="64"/>
  <c r="G49" i="64"/>
  <c r="AB50" i="64" l="1"/>
  <c r="P52" i="64"/>
  <c r="Q52" i="64"/>
  <c r="Z51" i="64"/>
  <c r="AA51" i="64"/>
  <c r="S51" i="64"/>
  <c r="T51" i="64"/>
  <c r="W52" i="64"/>
  <c r="X52" i="64"/>
  <c r="G50" i="64"/>
  <c r="N47" i="64"/>
  <c r="U50" i="64"/>
  <c r="J49" i="64"/>
  <c r="I49" i="64"/>
  <c r="C52" i="64"/>
  <c r="B52" i="64"/>
  <c r="L48" i="64"/>
  <c r="M48" i="64"/>
  <c r="E51" i="64"/>
  <c r="F51" i="64"/>
  <c r="U51" i="64" l="1"/>
  <c r="N48" i="64"/>
  <c r="X53" i="64"/>
  <c r="W53" i="64"/>
  <c r="C53" i="64"/>
  <c r="B53" i="64"/>
  <c r="J50" i="64"/>
  <c r="I50" i="64"/>
  <c r="E52" i="64"/>
  <c r="F52" i="64"/>
  <c r="AB51" i="64"/>
  <c r="G51" i="64"/>
  <c r="Q53" i="64"/>
  <c r="P53" i="64"/>
  <c r="Z52" i="64"/>
  <c r="AA52" i="64"/>
  <c r="L49" i="64"/>
  <c r="M49" i="64"/>
  <c r="S52" i="64"/>
  <c r="T52" i="64"/>
  <c r="J51" i="64" l="1"/>
  <c r="I51" i="64"/>
  <c r="E53" i="64"/>
  <c r="F53" i="64"/>
  <c r="G52" i="64"/>
  <c r="C54" i="64"/>
  <c r="B54" i="64"/>
  <c r="N49" i="64"/>
  <c r="L50" i="64"/>
  <c r="M50" i="64"/>
  <c r="S53" i="64"/>
  <c r="T53" i="64"/>
  <c r="Z53" i="64"/>
  <c r="AA53" i="64"/>
  <c r="AB52" i="64"/>
  <c r="Q54" i="64"/>
  <c r="P54" i="64"/>
  <c r="U52" i="64"/>
  <c r="X54" i="64"/>
  <c r="W54" i="64"/>
  <c r="U53" i="64" l="1"/>
  <c r="N50" i="64"/>
  <c r="AB53" i="64"/>
  <c r="P55" i="64"/>
  <c r="Q55" i="64"/>
  <c r="E54" i="64"/>
  <c r="F54" i="64"/>
  <c r="W55" i="64"/>
  <c r="X55" i="64"/>
  <c r="G53" i="64"/>
  <c r="L51" i="64"/>
  <c r="M51" i="64"/>
  <c r="C55" i="64"/>
  <c r="B55" i="64"/>
  <c r="Z54" i="64"/>
  <c r="AA54" i="64"/>
  <c r="S54" i="64"/>
  <c r="T54" i="64"/>
  <c r="J52" i="64"/>
  <c r="I52" i="64"/>
  <c r="U54" i="64" l="1"/>
  <c r="G54" i="64"/>
  <c r="E55" i="64"/>
  <c r="F55" i="64"/>
  <c r="B56" i="64"/>
  <c r="C56" i="64"/>
  <c r="P56" i="64"/>
  <c r="Q56" i="64"/>
  <c r="X56" i="64"/>
  <c r="W56" i="64"/>
  <c r="Z55" i="64"/>
  <c r="AA55" i="64"/>
  <c r="L52" i="64"/>
  <c r="M52" i="64"/>
  <c r="S55" i="64"/>
  <c r="T55" i="64"/>
  <c r="AB54" i="64"/>
  <c r="J53" i="64"/>
  <c r="I53" i="64"/>
  <c r="N51" i="64"/>
  <c r="N52" i="64" l="1"/>
  <c r="B57" i="64"/>
  <c r="C57" i="64"/>
  <c r="E56" i="64"/>
  <c r="F56" i="64"/>
  <c r="U55" i="64"/>
  <c r="W57" i="64"/>
  <c r="X57" i="64"/>
  <c r="L53" i="64"/>
  <c r="M53" i="64"/>
  <c r="G55" i="64"/>
  <c r="Q57" i="64"/>
  <c r="P57" i="64"/>
  <c r="S56" i="64"/>
  <c r="T56" i="64"/>
  <c r="AB55" i="64"/>
  <c r="J54" i="64"/>
  <c r="I54" i="64"/>
  <c r="Z56" i="64"/>
  <c r="AA56" i="64"/>
  <c r="N53" i="64" l="1"/>
  <c r="U56" i="64"/>
  <c r="G56" i="64"/>
  <c r="Z57" i="64"/>
  <c r="AA57" i="64"/>
  <c r="X58" i="64"/>
  <c r="W58" i="64"/>
  <c r="S57" i="64"/>
  <c r="T57" i="64"/>
  <c r="AB56" i="64"/>
  <c r="C58" i="64"/>
  <c r="B58" i="64"/>
  <c r="J55" i="64"/>
  <c r="I55" i="64"/>
  <c r="Q58" i="64"/>
  <c r="P58" i="64"/>
  <c r="L54" i="64"/>
  <c r="M54" i="64"/>
  <c r="E57" i="64"/>
  <c r="F57" i="64"/>
  <c r="N54" i="64" l="1"/>
  <c r="G57" i="64"/>
  <c r="U57" i="64"/>
  <c r="B59" i="64"/>
  <c r="C59" i="64"/>
  <c r="Z58" i="64"/>
  <c r="AA58" i="64"/>
  <c r="P59" i="64"/>
  <c r="Q59" i="64"/>
  <c r="L55" i="64"/>
  <c r="M55" i="64"/>
  <c r="X59" i="64"/>
  <c r="W59" i="64"/>
  <c r="S58" i="64"/>
  <c r="T58" i="64"/>
  <c r="J56" i="64"/>
  <c r="I56" i="64"/>
  <c r="E58" i="64"/>
  <c r="F58" i="64"/>
  <c r="AB57" i="64"/>
  <c r="AB58" i="64" l="1"/>
  <c r="G58" i="64"/>
  <c r="N55" i="64"/>
  <c r="Q60" i="64"/>
  <c r="P60" i="64"/>
  <c r="Z59" i="64"/>
  <c r="AA59" i="64"/>
  <c r="C60" i="64"/>
  <c r="B60" i="64"/>
  <c r="L56" i="64"/>
  <c r="M56" i="64"/>
  <c r="U58" i="64"/>
  <c r="X60" i="64"/>
  <c r="W60" i="64"/>
  <c r="E59" i="64"/>
  <c r="F59" i="64"/>
  <c r="I57" i="64"/>
  <c r="J57" i="64"/>
  <c r="S59" i="64"/>
  <c r="T59" i="64"/>
  <c r="AB59" i="64" l="1"/>
  <c r="G59" i="64"/>
  <c r="U59" i="64"/>
  <c r="N56" i="64"/>
  <c r="J58" i="64"/>
  <c r="I58" i="64"/>
  <c r="E60" i="64"/>
  <c r="F60" i="64"/>
  <c r="C61" i="64"/>
  <c r="B61" i="64"/>
  <c r="S60" i="64"/>
  <c r="T60" i="64"/>
  <c r="L57" i="64"/>
  <c r="M57" i="64"/>
  <c r="Z60" i="64"/>
  <c r="AA60" i="64"/>
  <c r="W61" i="64"/>
  <c r="X61" i="64"/>
  <c r="Q61" i="64"/>
  <c r="P61" i="64"/>
  <c r="G60" i="64" l="1"/>
  <c r="U60" i="64"/>
  <c r="E61" i="64"/>
  <c r="F61" i="64"/>
  <c r="Z61" i="64"/>
  <c r="AA61" i="64"/>
  <c r="B62" i="64"/>
  <c r="C62" i="64"/>
  <c r="X62" i="64"/>
  <c r="W62" i="64"/>
  <c r="Q62" i="64"/>
  <c r="P62" i="64"/>
  <c r="L58" i="64"/>
  <c r="M58" i="64"/>
  <c r="S61" i="64"/>
  <c r="T61" i="64"/>
  <c r="AB60" i="64"/>
  <c r="N57" i="64"/>
  <c r="J59" i="64"/>
  <c r="I59" i="64"/>
  <c r="AB61" i="64" l="1"/>
  <c r="G61" i="64"/>
  <c r="Z62" i="64"/>
  <c r="AA62" i="64"/>
  <c r="U61" i="64"/>
  <c r="E62" i="64"/>
  <c r="F62" i="64"/>
  <c r="B63" i="64"/>
  <c r="C63" i="64"/>
  <c r="X63" i="64"/>
  <c r="W63" i="64"/>
  <c r="N58" i="64"/>
  <c r="L59" i="64"/>
  <c r="M59" i="64"/>
  <c r="S62" i="64"/>
  <c r="T62" i="64"/>
  <c r="I60" i="64"/>
  <c r="J60" i="64"/>
  <c r="Q63" i="64"/>
  <c r="P63" i="64"/>
  <c r="AB62" i="64" l="1"/>
  <c r="G62" i="64"/>
  <c r="I61" i="64"/>
  <c r="J61" i="64"/>
  <c r="B64" i="64"/>
  <c r="C64" i="64"/>
  <c r="X64" i="64"/>
  <c r="W64" i="64"/>
  <c r="U62" i="64"/>
  <c r="L60" i="64"/>
  <c r="M60" i="64"/>
  <c r="E63" i="64"/>
  <c r="F63" i="64"/>
  <c r="N59" i="64"/>
  <c r="S63" i="64"/>
  <c r="T63" i="64"/>
  <c r="P64" i="64"/>
  <c r="Q64" i="64"/>
  <c r="Z63" i="64"/>
  <c r="AA63" i="64"/>
  <c r="N60" i="64" l="1"/>
  <c r="U63" i="64"/>
  <c r="X65" i="64"/>
  <c r="W65" i="64"/>
  <c r="P65" i="64"/>
  <c r="Q65" i="64"/>
  <c r="B65" i="64"/>
  <c r="C65" i="64"/>
  <c r="S64" i="64"/>
  <c r="T64" i="64"/>
  <c r="Z64" i="64"/>
  <c r="AA64" i="64"/>
  <c r="E64" i="64"/>
  <c r="F64" i="64"/>
  <c r="G63" i="64"/>
  <c r="I62" i="64"/>
  <c r="J62" i="64"/>
  <c r="AB63" i="64"/>
  <c r="L61" i="64"/>
  <c r="M61" i="64"/>
  <c r="N61" i="64" l="1"/>
  <c r="E65" i="64"/>
  <c r="F65" i="64"/>
  <c r="J63" i="64"/>
  <c r="I63" i="64"/>
  <c r="P66" i="64"/>
  <c r="Q66" i="64"/>
  <c r="S65" i="64"/>
  <c r="T65" i="64"/>
  <c r="U64" i="64"/>
  <c r="L62" i="64"/>
  <c r="M62" i="64"/>
  <c r="G64" i="64"/>
  <c r="Z65" i="64"/>
  <c r="AA65" i="64"/>
  <c r="C66" i="64"/>
  <c r="B66" i="64"/>
  <c r="AB64" i="64"/>
  <c r="W66" i="64"/>
  <c r="X66" i="64"/>
  <c r="N62" i="64" l="1"/>
  <c r="U65" i="64"/>
  <c r="G65" i="64"/>
  <c r="Q67" i="64"/>
  <c r="P67" i="64"/>
  <c r="E66" i="64"/>
  <c r="F66" i="64"/>
  <c r="L63" i="64"/>
  <c r="M63" i="64"/>
  <c r="B67" i="64"/>
  <c r="C67" i="64"/>
  <c r="I64" i="64"/>
  <c r="J64" i="64"/>
  <c r="AB65" i="64"/>
  <c r="S66" i="64"/>
  <c r="T66" i="64"/>
  <c r="W67" i="64"/>
  <c r="X67" i="64"/>
  <c r="Z66" i="64"/>
  <c r="AA66" i="64"/>
  <c r="AB66" i="64" l="1"/>
  <c r="C68" i="64"/>
  <c r="B68" i="64"/>
  <c r="E67" i="64"/>
  <c r="F67" i="64"/>
  <c r="G66" i="64"/>
  <c r="N63" i="64"/>
  <c r="I65" i="64"/>
  <c r="J65" i="64"/>
  <c r="S67" i="64"/>
  <c r="T67" i="64"/>
  <c r="X68" i="64"/>
  <c r="W68" i="64"/>
  <c r="Z67" i="64"/>
  <c r="AA67" i="64"/>
  <c r="U66" i="64"/>
  <c r="L64" i="64"/>
  <c r="M64" i="64"/>
  <c r="P68" i="64"/>
  <c r="Q68" i="64"/>
  <c r="N64" i="64" l="1"/>
  <c r="I66" i="64"/>
  <c r="J66" i="64"/>
  <c r="L65" i="64"/>
  <c r="M65" i="64"/>
  <c r="AB67" i="64"/>
  <c r="P69" i="64"/>
  <c r="Q69" i="64"/>
  <c r="G67" i="64"/>
  <c r="W69" i="64"/>
  <c r="X69" i="64"/>
  <c r="S68" i="64"/>
  <c r="T68" i="64"/>
  <c r="E68" i="64"/>
  <c r="F68" i="64"/>
  <c r="Z68" i="64"/>
  <c r="AA68" i="64"/>
  <c r="U67" i="64"/>
  <c r="B69" i="64"/>
  <c r="C69" i="64"/>
  <c r="AB68" i="64" l="1"/>
  <c r="S69" i="64"/>
  <c r="T69" i="64"/>
  <c r="P70" i="64"/>
  <c r="Q70" i="64"/>
  <c r="U68" i="64"/>
  <c r="E69" i="64"/>
  <c r="F69" i="64"/>
  <c r="I67" i="64"/>
  <c r="J67" i="64"/>
  <c r="G68" i="64"/>
  <c r="C70" i="64"/>
  <c r="B70" i="64"/>
  <c r="N65" i="64"/>
  <c r="W70" i="64"/>
  <c r="X70" i="64"/>
  <c r="Z69" i="64"/>
  <c r="AA69" i="64"/>
  <c r="L66" i="64"/>
  <c r="M66" i="64"/>
  <c r="AB69" i="64" l="1"/>
  <c r="G69" i="64"/>
  <c r="N66" i="64"/>
  <c r="X71" i="64"/>
  <c r="W71" i="64"/>
  <c r="L67" i="64"/>
  <c r="M67" i="64"/>
  <c r="Z70" i="64"/>
  <c r="AA70" i="64"/>
  <c r="Q71" i="64"/>
  <c r="P71" i="64"/>
  <c r="B71" i="64"/>
  <c r="C71" i="64"/>
  <c r="S70" i="64"/>
  <c r="T70" i="64"/>
  <c r="E70" i="64"/>
  <c r="F70" i="64"/>
  <c r="I68" i="64"/>
  <c r="J68" i="64"/>
  <c r="U69" i="64"/>
  <c r="AB70" i="64" l="1"/>
  <c r="J69" i="64"/>
  <c r="I69" i="64"/>
  <c r="G70" i="64"/>
  <c r="S71" i="64"/>
  <c r="T71" i="64"/>
  <c r="P72" i="64"/>
  <c r="Q72" i="64"/>
  <c r="N67" i="64"/>
  <c r="L68" i="64"/>
  <c r="M68" i="64"/>
  <c r="U70" i="64"/>
  <c r="Z71" i="64"/>
  <c r="AA71" i="64"/>
  <c r="B72" i="64"/>
  <c r="C72" i="64"/>
  <c r="E71" i="64"/>
  <c r="F71" i="64"/>
  <c r="W72" i="64"/>
  <c r="X72" i="64"/>
  <c r="U71" i="64" l="1"/>
  <c r="N68" i="64"/>
  <c r="AB71" i="64"/>
  <c r="E72" i="64"/>
  <c r="F72" i="64"/>
  <c r="C73" i="64"/>
  <c r="B73" i="64"/>
  <c r="X73" i="64"/>
  <c r="W73" i="64"/>
  <c r="Z72" i="64"/>
  <c r="AA72" i="64"/>
  <c r="L69" i="64"/>
  <c r="M69" i="64"/>
  <c r="P73" i="64"/>
  <c r="Q73" i="64"/>
  <c r="J70" i="64"/>
  <c r="I70" i="64"/>
  <c r="S72" i="64"/>
  <c r="T72" i="64"/>
  <c r="G71" i="64"/>
  <c r="N69" i="64" l="1"/>
  <c r="AB72" i="64"/>
  <c r="G72" i="64"/>
  <c r="Z73" i="64"/>
  <c r="AA73" i="64"/>
  <c r="J71" i="64"/>
  <c r="I71" i="64"/>
  <c r="P74" i="64"/>
  <c r="Q74" i="64"/>
  <c r="E73" i="64"/>
  <c r="F73" i="64"/>
  <c r="S73" i="64"/>
  <c r="T73" i="64"/>
  <c r="B74" i="64"/>
  <c r="C74" i="64"/>
  <c r="L70" i="64"/>
  <c r="M70" i="64"/>
  <c r="W74" i="64"/>
  <c r="X74" i="64"/>
  <c r="U72" i="64"/>
  <c r="U73" i="64" l="1"/>
  <c r="Z74" i="64"/>
  <c r="AA74" i="64"/>
  <c r="P75" i="64"/>
  <c r="Q75" i="64"/>
  <c r="L71" i="64"/>
  <c r="M71" i="64"/>
  <c r="X75" i="64"/>
  <c r="W75" i="64"/>
  <c r="N70" i="64"/>
  <c r="S74" i="64"/>
  <c r="T74" i="64"/>
  <c r="B75" i="64"/>
  <c r="C75" i="64"/>
  <c r="E74" i="64"/>
  <c r="F74" i="64"/>
  <c r="I72" i="64"/>
  <c r="J72" i="64"/>
  <c r="G73" i="64"/>
  <c r="AB73" i="64"/>
  <c r="U74" i="64" l="1"/>
  <c r="N71" i="64"/>
  <c r="Z75" i="64"/>
  <c r="AA75" i="64"/>
  <c r="W76" i="64"/>
  <c r="X76" i="64"/>
  <c r="E75" i="64"/>
  <c r="F75" i="64"/>
  <c r="Q76" i="64"/>
  <c r="P76" i="64"/>
  <c r="G74" i="64"/>
  <c r="S75" i="64"/>
  <c r="T75" i="64"/>
  <c r="L72" i="64"/>
  <c r="M72" i="64"/>
  <c r="C76" i="64"/>
  <c r="B76" i="64"/>
  <c r="I73" i="64"/>
  <c r="J73" i="64"/>
  <c r="AB74" i="64"/>
  <c r="G75" i="64" l="1"/>
  <c r="E76" i="64"/>
  <c r="F76" i="64"/>
  <c r="Q77" i="64"/>
  <c r="P77" i="64"/>
  <c r="Z76" i="64"/>
  <c r="AA76" i="64"/>
  <c r="B77" i="64"/>
  <c r="C77" i="64"/>
  <c r="X77" i="64"/>
  <c r="W77" i="64"/>
  <c r="AB75" i="64"/>
  <c r="N72" i="64"/>
  <c r="U75" i="64"/>
  <c r="I74" i="64"/>
  <c r="J74" i="64"/>
  <c r="L73" i="64"/>
  <c r="M73" i="64"/>
  <c r="S76" i="64"/>
  <c r="T76" i="64"/>
  <c r="AB76" i="64" l="1"/>
  <c r="U76" i="64"/>
  <c r="N73" i="64"/>
  <c r="J75" i="64"/>
  <c r="I75" i="64"/>
  <c r="S77" i="64"/>
  <c r="T77" i="64"/>
  <c r="P78" i="64"/>
  <c r="Q78" i="64"/>
  <c r="E77" i="64"/>
  <c r="F77" i="64"/>
  <c r="Z77" i="64"/>
  <c r="AA77" i="64"/>
  <c r="B78" i="64"/>
  <c r="C78" i="64"/>
  <c r="L74" i="64"/>
  <c r="M74" i="64"/>
  <c r="X78" i="64"/>
  <c r="W78" i="64"/>
  <c r="G76" i="64"/>
  <c r="Q79" i="64" l="1"/>
  <c r="P79" i="64"/>
  <c r="W79" i="64"/>
  <c r="X79" i="64"/>
  <c r="Z78" i="64"/>
  <c r="AA78" i="64"/>
  <c r="G77" i="64"/>
  <c r="S78" i="64"/>
  <c r="T78" i="64"/>
  <c r="U77" i="64"/>
  <c r="L75" i="64"/>
  <c r="M75" i="64"/>
  <c r="N74" i="64"/>
  <c r="C79" i="64"/>
  <c r="B79" i="64"/>
  <c r="E78" i="64"/>
  <c r="F78" i="64"/>
  <c r="AB77" i="64"/>
  <c r="I76" i="64"/>
  <c r="J76" i="64"/>
  <c r="G78" i="64" l="1"/>
  <c r="U78" i="64"/>
  <c r="E79" i="64"/>
  <c r="F79" i="64"/>
  <c r="W80" i="64"/>
  <c r="X80" i="64"/>
  <c r="C80" i="64"/>
  <c r="B80" i="64"/>
  <c r="N75" i="64"/>
  <c r="Z79" i="64"/>
  <c r="AA79" i="64"/>
  <c r="L76" i="64"/>
  <c r="M76" i="64"/>
  <c r="S79" i="64"/>
  <c r="T79" i="64"/>
  <c r="AB78" i="64"/>
  <c r="J77" i="64"/>
  <c r="I77" i="64"/>
  <c r="P80" i="64"/>
  <c r="Q80" i="64"/>
  <c r="AB79" i="64" l="1"/>
  <c r="N76" i="64"/>
  <c r="U79" i="64"/>
  <c r="E80" i="64"/>
  <c r="F80" i="64"/>
  <c r="C81" i="64"/>
  <c r="B81" i="64"/>
  <c r="W81" i="64"/>
  <c r="X81" i="64"/>
  <c r="L77" i="64"/>
  <c r="M77" i="64"/>
  <c r="I78" i="64"/>
  <c r="J78" i="64"/>
  <c r="Z80" i="64"/>
  <c r="AA80" i="64"/>
  <c r="P81" i="64"/>
  <c r="Q81" i="64"/>
  <c r="S80" i="64"/>
  <c r="T80" i="64"/>
  <c r="G79" i="64"/>
  <c r="U80" i="64" l="1"/>
  <c r="N77" i="64"/>
  <c r="X82" i="64"/>
  <c r="W82" i="64"/>
  <c r="P82" i="64"/>
  <c r="Q82" i="64"/>
  <c r="S81" i="64"/>
  <c r="T81" i="64"/>
  <c r="E81" i="64"/>
  <c r="F81" i="64"/>
  <c r="AB80" i="64"/>
  <c r="B82" i="64"/>
  <c r="C82" i="64"/>
  <c r="Z81" i="64"/>
  <c r="AA81" i="64"/>
  <c r="I79" i="64"/>
  <c r="J79" i="64"/>
  <c r="L78" i="64"/>
  <c r="M78" i="64"/>
  <c r="G80" i="64"/>
  <c r="N78" i="64" l="1"/>
  <c r="U81" i="64"/>
  <c r="L79" i="64"/>
  <c r="M79" i="64"/>
  <c r="I80" i="64"/>
  <c r="J80" i="64"/>
  <c r="Q83" i="64"/>
  <c r="P83" i="64"/>
  <c r="S82" i="64"/>
  <c r="T82" i="64"/>
  <c r="B83" i="64"/>
  <c r="C83" i="64"/>
  <c r="E82" i="64"/>
  <c r="F82" i="64"/>
  <c r="Z82" i="64"/>
  <c r="AA82" i="64"/>
  <c r="G81" i="64"/>
  <c r="AB81" i="64"/>
  <c r="X83" i="64"/>
  <c r="W83" i="64"/>
  <c r="U82" i="64" l="1"/>
  <c r="AB82" i="64"/>
  <c r="Q84" i="64"/>
  <c r="P84" i="64"/>
  <c r="I81" i="64"/>
  <c r="J81" i="64"/>
  <c r="G82" i="64"/>
  <c r="L80" i="64"/>
  <c r="M80" i="64"/>
  <c r="Z83" i="64"/>
  <c r="AA83" i="64"/>
  <c r="B84" i="64"/>
  <c r="C84" i="64"/>
  <c r="S83" i="64"/>
  <c r="T83" i="64"/>
  <c r="X84" i="64"/>
  <c r="W84" i="64"/>
  <c r="E83" i="64"/>
  <c r="F83" i="64"/>
  <c r="N79" i="64"/>
  <c r="G83" i="64" l="1"/>
  <c r="U83" i="64"/>
  <c r="N80" i="64"/>
  <c r="AB83" i="64"/>
  <c r="W85" i="64"/>
  <c r="X85" i="64"/>
  <c r="Z84" i="64"/>
  <c r="AA84" i="64"/>
  <c r="J82" i="64"/>
  <c r="I82" i="64"/>
  <c r="C85" i="64"/>
  <c r="B85" i="64"/>
  <c r="L81" i="64"/>
  <c r="M81" i="64"/>
  <c r="E84" i="64"/>
  <c r="F84" i="64"/>
  <c r="S84" i="64"/>
  <c r="T84" i="64"/>
  <c r="P85" i="64"/>
  <c r="Q85" i="64"/>
  <c r="U84" i="64" l="1"/>
  <c r="P86" i="64"/>
  <c r="Q86" i="64"/>
  <c r="L82" i="64"/>
  <c r="M82" i="64"/>
  <c r="E85" i="64"/>
  <c r="F85" i="64"/>
  <c r="G84" i="64"/>
  <c r="AB84" i="64"/>
  <c r="S85" i="64"/>
  <c r="T85" i="64"/>
  <c r="W86" i="64"/>
  <c r="X86" i="64"/>
  <c r="C86" i="64"/>
  <c r="B86" i="64"/>
  <c r="J83" i="64"/>
  <c r="I83" i="64"/>
  <c r="N81" i="64"/>
  <c r="Z85" i="64"/>
  <c r="AA85" i="64"/>
  <c r="U85" i="64" l="1"/>
  <c r="L83" i="64"/>
  <c r="M83" i="64"/>
  <c r="E86" i="64"/>
  <c r="F86" i="64"/>
  <c r="G85" i="64"/>
  <c r="J84" i="64"/>
  <c r="I84" i="64"/>
  <c r="N82" i="64"/>
  <c r="AB85" i="64"/>
  <c r="P87" i="64"/>
  <c r="Q87" i="64"/>
  <c r="C87" i="64"/>
  <c r="B87" i="64"/>
  <c r="X87" i="64"/>
  <c r="W87" i="64"/>
  <c r="Z86" i="64"/>
  <c r="AA86" i="64"/>
  <c r="S86" i="64"/>
  <c r="T86" i="64"/>
  <c r="G86" i="64" l="1"/>
  <c r="AB86" i="64"/>
  <c r="J85" i="64"/>
  <c r="I85" i="64"/>
  <c r="E87" i="64"/>
  <c r="F87" i="64"/>
  <c r="Z87" i="64"/>
  <c r="AA87" i="64"/>
  <c r="B88" i="64"/>
  <c r="C88" i="64"/>
  <c r="L84" i="64"/>
  <c r="M84" i="64"/>
  <c r="X88" i="64"/>
  <c r="W88" i="64"/>
  <c r="P88" i="64"/>
  <c r="Q88" i="64"/>
  <c r="U86" i="64"/>
  <c r="S87" i="64"/>
  <c r="T87" i="64"/>
  <c r="N83" i="64"/>
  <c r="AB87" i="64" l="1"/>
  <c r="U87" i="64"/>
  <c r="Q89" i="64"/>
  <c r="P89" i="64"/>
  <c r="C89" i="64"/>
  <c r="B89" i="64"/>
  <c r="S88" i="64"/>
  <c r="T88" i="64"/>
  <c r="G87" i="64"/>
  <c r="Z88" i="64"/>
  <c r="AA88" i="64"/>
  <c r="L85" i="64"/>
  <c r="M85" i="64"/>
  <c r="E88" i="64"/>
  <c r="F88" i="64"/>
  <c r="X89" i="64"/>
  <c r="W89" i="64"/>
  <c r="N84" i="64"/>
  <c r="J86" i="64"/>
  <c r="I86" i="64"/>
  <c r="AB88" i="64" l="1"/>
  <c r="E89" i="64"/>
  <c r="F89" i="64"/>
  <c r="X90" i="64"/>
  <c r="W90" i="64"/>
  <c r="C90" i="64"/>
  <c r="B90" i="64"/>
  <c r="U88" i="64"/>
  <c r="N85" i="64"/>
  <c r="S89" i="64"/>
  <c r="T89" i="64"/>
  <c r="Z89" i="64"/>
  <c r="AA89" i="64"/>
  <c r="G88" i="64"/>
  <c r="L86" i="64"/>
  <c r="M86" i="64"/>
  <c r="J87" i="64"/>
  <c r="I87" i="64"/>
  <c r="Q90" i="64"/>
  <c r="P90" i="64"/>
  <c r="AB89" i="64" l="1"/>
  <c r="J88" i="64"/>
  <c r="I88" i="64"/>
  <c r="C91" i="64"/>
  <c r="B91" i="64"/>
  <c r="Z90" i="64"/>
  <c r="AA90" i="64"/>
  <c r="W91" i="64"/>
  <c r="X91" i="64"/>
  <c r="P91" i="64"/>
  <c r="Q91" i="64"/>
  <c r="N86" i="64"/>
  <c r="E90" i="64"/>
  <c r="F90" i="64"/>
  <c r="S90" i="64"/>
  <c r="T90" i="64"/>
  <c r="L87" i="64"/>
  <c r="M87" i="64"/>
  <c r="U89" i="64"/>
  <c r="G89" i="64"/>
  <c r="N87" i="64" l="1"/>
  <c r="U90" i="64"/>
  <c r="E91" i="64"/>
  <c r="F91" i="64"/>
  <c r="W92" i="64"/>
  <c r="X92" i="64"/>
  <c r="C92" i="64"/>
  <c r="B92" i="64"/>
  <c r="AB90" i="64"/>
  <c r="Q92" i="64"/>
  <c r="P92" i="64"/>
  <c r="L88" i="64"/>
  <c r="M88" i="64"/>
  <c r="Z91" i="64"/>
  <c r="AA91" i="64"/>
  <c r="G90" i="64"/>
  <c r="S91" i="64"/>
  <c r="T91" i="64"/>
  <c r="J89" i="64"/>
  <c r="I89" i="64"/>
  <c r="N88" i="64" l="1"/>
  <c r="U91" i="64"/>
  <c r="X93" i="64"/>
  <c r="W93" i="64"/>
  <c r="C93" i="64"/>
  <c r="B93" i="64"/>
  <c r="Z92" i="64"/>
  <c r="AA92" i="64"/>
  <c r="AB91" i="64"/>
  <c r="L89" i="64"/>
  <c r="M89" i="64"/>
  <c r="G91" i="64"/>
  <c r="E92" i="64"/>
  <c r="F92" i="64"/>
  <c r="J90" i="64"/>
  <c r="I90" i="64"/>
  <c r="S92" i="64"/>
  <c r="T92" i="64"/>
  <c r="P93" i="64"/>
  <c r="Q93" i="64"/>
  <c r="N89" i="64" l="1"/>
  <c r="U92" i="64"/>
  <c r="AB92" i="64"/>
  <c r="E93" i="64"/>
  <c r="F93" i="64"/>
  <c r="L90" i="64"/>
  <c r="M90" i="64"/>
  <c r="J91" i="64"/>
  <c r="I91" i="64"/>
  <c r="B94" i="64"/>
  <c r="C94" i="64"/>
  <c r="G92" i="64"/>
  <c r="Q94" i="64"/>
  <c r="P94" i="64"/>
  <c r="Z93" i="64"/>
  <c r="AA93" i="64"/>
  <c r="S93" i="64"/>
  <c r="T93" i="64"/>
  <c r="W94" i="64"/>
  <c r="X94" i="64"/>
  <c r="G93" i="64" l="1"/>
  <c r="E94" i="64"/>
  <c r="F94" i="64"/>
  <c r="N90" i="64"/>
  <c r="U93" i="64"/>
  <c r="L91" i="64"/>
  <c r="M91" i="64"/>
  <c r="I92" i="64"/>
  <c r="J92" i="64"/>
  <c r="S94" i="64"/>
  <c r="T94" i="64"/>
  <c r="AB93" i="64"/>
  <c r="P95" i="64"/>
  <c r="Q95" i="64"/>
  <c r="X95" i="64"/>
  <c r="W95" i="64"/>
  <c r="Z94" i="64"/>
  <c r="AA94" i="64"/>
  <c r="C95" i="64"/>
  <c r="B95" i="64"/>
  <c r="AB94" i="64" l="1"/>
  <c r="Z95" i="64"/>
  <c r="AA95" i="64"/>
  <c r="L92" i="64"/>
  <c r="M92" i="64"/>
  <c r="Q96" i="64"/>
  <c r="P96" i="64"/>
  <c r="S95" i="64"/>
  <c r="T95" i="64"/>
  <c r="E95" i="64"/>
  <c r="F95" i="64"/>
  <c r="N91" i="64"/>
  <c r="B96" i="64"/>
  <c r="C96" i="64"/>
  <c r="J93" i="64"/>
  <c r="I93" i="64"/>
  <c r="X96" i="64"/>
  <c r="W96" i="64"/>
  <c r="U94" i="64"/>
  <c r="G94" i="64"/>
  <c r="W97" i="64" l="1"/>
  <c r="X97" i="64"/>
  <c r="C97" i="64"/>
  <c r="B97" i="64"/>
  <c r="P97" i="64"/>
  <c r="Q97" i="64"/>
  <c r="U95" i="64"/>
  <c r="E96" i="64"/>
  <c r="F96" i="64"/>
  <c r="N92" i="64"/>
  <c r="I94" i="64"/>
  <c r="J94" i="64"/>
  <c r="L93" i="64"/>
  <c r="M93" i="64"/>
  <c r="S96" i="64"/>
  <c r="T96" i="64"/>
  <c r="Z96" i="64"/>
  <c r="AA96" i="64"/>
  <c r="G95" i="64"/>
  <c r="AB95" i="64"/>
  <c r="G96" i="64" l="1"/>
  <c r="AB96" i="64"/>
  <c r="Q98" i="64"/>
  <c r="P98" i="64"/>
  <c r="E97" i="64"/>
  <c r="F97" i="64"/>
  <c r="U96" i="64"/>
  <c r="S97" i="64"/>
  <c r="T97" i="64"/>
  <c r="J95" i="64"/>
  <c r="I95" i="64"/>
  <c r="L94" i="64"/>
  <c r="M94" i="64"/>
  <c r="C98" i="64"/>
  <c r="B98" i="64"/>
  <c r="N93" i="64"/>
  <c r="X98" i="64"/>
  <c r="W98" i="64"/>
  <c r="Z97" i="64"/>
  <c r="AA97" i="64"/>
  <c r="U97" i="64" l="1"/>
  <c r="X99" i="64"/>
  <c r="W99" i="64"/>
  <c r="J96" i="64"/>
  <c r="I96" i="64"/>
  <c r="G97" i="64"/>
  <c r="Z98" i="64"/>
  <c r="AA98" i="64"/>
  <c r="B99" i="64"/>
  <c r="C99" i="64"/>
  <c r="N94" i="64"/>
  <c r="S98" i="64"/>
  <c r="T98" i="64"/>
  <c r="E98" i="64"/>
  <c r="F98" i="64"/>
  <c r="AB97" i="64"/>
  <c r="L95" i="64"/>
  <c r="M95" i="64"/>
  <c r="Q99" i="64"/>
  <c r="P99" i="64"/>
  <c r="G98" i="64" l="1"/>
  <c r="N95" i="64"/>
  <c r="AB98" i="64"/>
  <c r="L96" i="64"/>
  <c r="M96" i="64"/>
  <c r="E99" i="64"/>
  <c r="F99" i="64"/>
  <c r="U98" i="64"/>
  <c r="J97" i="64"/>
  <c r="I97" i="64"/>
  <c r="S99" i="64"/>
  <c r="T99" i="64"/>
  <c r="Q100" i="64"/>
  <c r="P100" i="64"/>
  <c r="Z99" i="64"/>
  <c r="AA99" i="64"/>
  <c r="B100" i="64"/>
  <c r="C100" i="64"/>
  <c r="X100" i="64"/>
  <c r="W100" i="64"/>
  <c r="AB99" i="64" l="1"/>
  <c r="U99" i="64"/>
  <c r="L97" i="64"/>
  <c r="M97" i="64"/>
  <c r="E100" i="64"/>
  <c r="F100" i="64"/>
  <c r="B101" i="64"/>
  <c r="C101" i="64"/>
  <c r="G99" i="64"/>
  <c r="S100" i="64"/>
  <c r="T100" i="64"/>
  <c r="P101" i="64"/>
  <c r="Q101" i="64"/>
  <c r="X101" i="64"/>
  <c r="W101" i="64"/>
  <c r="J98" i="64"/>
  <c r="I98" i="64"/>
  <c r="Z100" i="64"/>
  <c r="AA100" i="64"/>
  <c r="N96" i="64"/>
  <c r="G100" i="64" l="1"/>
  <c r="N97" i="64"/>
  <c r="U100" i="64"/>
  <c r="AB100" i="64"/>
  <c r="C102" i="64"/>
  <c r="B102" i="64"/>
  <c r="E101" i="64"/>
  <c r="F101" i="64"/>
  <c r="L98" i="64"/>
  <c r="M98" i="64"/>
  <c r="J99" i="64"/>
  <c r="I99" i="64"/>
  <c r="Z101" i="64"/>
  <c r="AA101" i="64"/>
  <c r="W102" i="64"/>
  <c r="X102" i="64"/>
  <c r="P102" i="64"/>
  <c r="Q102" i="64"/>
  <c r="S101" i="64"/>
  <c r="T101" i="64"/>
  <c r="N98" i="64" l="1"/>
  <c r="U101" i="64"/>
  <c r="L99" i="64"/>
  <c r="M99" i="64"/>
  <c r="Q103" i="64"/>
  <c r="P103" i="64"/>
  <c r="G101" i="64"/>
  <c r="E102" i="64"/>
  <c r="F102" i="64"/>
  <c r="J100" i="64"/>
  <c r="I100" i="64"/>
  <c r="S102" i="64"/>
  <c r="T102" i="64"/>
  <c r="X103" i="64"/>
  <c r="W103" i="64"/>
  <c r="Z102" i="64"/>
  <c r="AA102" i="64"/>
  <c r="AB101" i="64"/>
  <c r="B103" i="64"/>
  <c r="C103" i="64"/>
  <c r="AB102" i="64" l="1"/>
  <c r="G102" i="64"/>
  <c r="S103" i="64"/>
  <c r="T103" i="64"/>
  <c r="W104" i="64"/>
  <c r="X104" i="64"/>
  <c r="Q104" i="64"/>
  <c r="P104" i="64"/>
  <c r="Z103" i="64"/>
  <c r="AA103" i="64"/>
  <c r="C104" i="64"/>
  <c r="B104" i="64"/>
  <c r="N99" i="64"/>
  <c r="U102" i="64"/>
  <c r="E103" i="64"/>
  <c r="F103" i="64"/>
  <c r="L100" i="64"/>
  <c r="M100" i="64"/>
  <c r="J101" i="64"/>
  <c r="I101" i="64"/>
  <c r="G103" i="64" l="1"/>
  <c r="S104" i="64"/>
  <c r="T104" i="64"/>
  <c r="X105" i="64"/>
  <c r="W105" i="64"/>
  <c r="N100" i="64"/>
  <c r="Z104" i="64"/>
  <c r="AA104" i="64"/>
  <c r="L101" i="64"/>
  <c r="M101" i="64"/>
  <c r="E104" i="64"/>
  <c r="F104" i="64"/>
  <c r="AB103" i="64"/>
  <c r="P105" i="64"/>
  <c r="Q105" i="64"/>
  <c r="I102" i="64"/>
  <c r="J102" i="64"/>
  <c r="C105" i="64"/>
  <c r="B105" i="64"/>
  <c r="U103" i="64"/>
  <c r="AB104" i="64" l="1"/>
  <c r="N101" i="64"/>
  <c r="L102" i="64"/>
  <c r="M102" i="64"/>
  <c r="S105" i="64"/>
  <c r="T105" i="64"/>
  <c r="Z105" i="64"/>
  <c r="AA105" i="64"/>
  <c r="I103" i="64"/>
  <c r="J103" i="64"/>
  <c r="X106" i="64"/>
  <c r="W106" i="64"/>
  <c r="Q106" i="64"/>
  <c r="P106" i="64"/>
  <c r="E105" i="64"/>
  <c r="F105" i="64"/>
  <c r="G104" i="64"/>
  <c r="B106" i="64"/>
  <c r="C106" i="64"/>
  <c r="U104" i="64"/>
  <c r="N102" i="64" l="1"/>
  <c r="U105" i="64"/>
  <c r="L103" i="64"/>
  <c r="M103" i="64"/>
  <c r="E106" i="64"/>
  <c r="F106" i="64"/>
  <c r="AB105" i="64"/>
  <c r="J104" i="64"/>
  <c r="I104" i="64"/>
  <c r="S106" i="64"/>
  <c r="T106" i="64"/>
  <c r="Q107" i="64"/>
  <c r="P107" i="64"/>
  <c r="Z106" i="64"/>
  <c r="AA106" i="64"/>
  <c r="G105" i="64"/>
  <c r="B107" i="64"/>
  <c r="C107" i="64"/>
  <c r="X107" i="64"/>
  <c r="W107" i="64"/>
  <c r="AB106" i="64" l="1"/>
  <c r="U106" i="64"/>
  <c r="I105" i="64"/>
  <c r="J105" i="64"/>
  <c r="G106" i="64"/>
  <c r="E107" i="64"/>
  <c r="F107" i="64"/>
  <c r="L104" i="64"/>
  <c r="M104" i="64"/>
  <c r="S107" i="64"/>
  <c r="T107" i="64"/>
  <c r="Z107" i="64"/>
  <c r="AA107" i="64"/>
  <c r="P108" i="64"/>
  <c r="Q108" i="64"/>
  <c r="B108" i="64"/>
  <c r="C108" i="64"/>
  <c r="W108" i="64"/>
  <c r="X108" i="64"/>
  <c r="N103" i="64"/>
  <c r="G107" i="64" l="1"/>
  <c r="U107" i="64"/>
  <c r="Z108" i="64"/>
  <c r="AA108" i="64"/>
  <c r="N104" i="64"/>
  <c r="S108" i="64"/>
  <c r="T108" i="64"/>
  <c r="AB107" i="64"/>
  <c r="J106" i="64"/>
  <c r="I106" i="64"/>
  <c r="B109" i="64"/>
  <c r="C109" i="64"/>
  <c r="E108" i="64"/>
  <c r="F108" i="64"/>
  <c r="Q109" i="64"/>
  <c r="P109" i="64"/>
  <c r="W109" i="64"/>
  <c r="X109" i="64"/>
  <c r="L105" i="64"/>
  <c r="M105" i="64"/>
  <c r="U108" i="64" l="1"/>
  <c r="L106" i="64"/>
  <c r="M106" i="64"/>
  <c r="Z109" i="64"/>
  <c r="AA109" i="64"/>
  <c r="X110" i="64"/>
  <c r="W110" i="64"/>
  <c r="G108" i="64"/>
  <c r="I107" i="64"/>
  <c r="J107" i="64"/>
  <c r="P110" i="64"/>
  <c r="Q110" i="64"/>
  <c r="C110" i="64"/>
  <c r="B110" i="64"/>
  <c r="S109" i="64"/>
  <c r="T109" i="64"/>
  <c r="N105" i="64"/>
  <c r="E109" i="64"/>
  <c r="F109" i="64"/>
  <c r="AB108" i="64"/>
  <c r="G109" i="64" l="1"/>
  <c r="U109" i="64"/>
  <c r="Z110" i="64"/>
  <c r="AA110" i="64"/>
  <c r="W111" i="64"/>
  <c r="X111" i="64"/>
  <c r="L107" i="64"/>
  <c r="M107" i="64"/>
  <c r="B111" i="64"/>
  <c r="C111" i="64"/>
  <c r="P111" i="64"/>
  <c r="Q111" i="64"/>
  <c r="AB109" i="64"/>
  <c r="E110" i="64"/>
  <c r="F110" i="64"/>
  <c r="S110" i="64"/>
  <c r="T110" i="64"/>
  <c r="I108" i="64"/>
  <c r="J108" i="64"/>
  <c r="N106" i="64"/>
  <c r="U110" i="64" l="1"/>
  <c r="G110" i="64"/>
  <c r="E111" i="64"/>
  <c r="F111" i="64"/>
  <c r="N107" i="64"/>
  <c r="Z111" i="64"/>
  <c r="AA111" i="64"/>
  <c r="AB110" i="64"/>
  <c r="W112" i="64"/>
  <c r="X112" i="64"/>
  <c r="Q112" i="64"/>
  <c r="P112" i="64"/>
  <c r="J109" i="64"/>
  <c r="I109" i="64"/>
  <c r="S111" i="64"/>
  <c r="T111" i="64"/>
  <c r="L108" i="64"/>
  <c r="M108" i="64"/>
  <c r="C112" i="64"/>
  <c r="B112" i="64"/>
  <c r="N108" i="64" l="1"/>
  <c r="X113" i="64"/>
  <c r="W113" i="64"/>
  <c r="AB111" i="64"/>
  <c r="L109" i="64"/>
  <c r="M109" i="64"/>
  <c r="I110" i="64"/>
  <c r="J110" i="64"/>
  <c r="U111" i="64"/>
  <c r="S112" i="64"/>
  <c r="T112" i="64"/>
  <c r="Z112" i="64"/>
  <c r="AA112" i="64"/>
  <c r="E112" i="64"/>
  <c r="F112" i="64"/>
  <c r="B113" i="64"/>
  <c r="C113" i="64"/>
  <c r="P113" i="64"/>
  <c r="Q113" i="64"/>
  <c r="G111" i="64"/>
  <c r="E113" i="64" l="1"/>
  <c r="F113" i="64"/>
  <c r="J111" i="64"/>
  <c r="I111" i="64"/>
  <c r="L110" i="64"/>
  <c r="M110" i="64"/>
  <c r="N109" i="64"/>
  <c r="G112" i="64"/>
  <c r="AB112" i="64"/>
  <c r="C114" i="64"/>
  <c r="B114" i="64"/>
  <c r="P114" i="64"/>
  <c r="Q114" i="64"/>
  <c r="Z113" i="64"/>
  <c r="AA113" i="64"/>
  <c r="S113" i="64"/>
  <c r="T113" i="64"/>
  <c r="U112" i="64"/>
  <c r="W114" i="64"/>
  <c r="X114" i="64"/>
  <c r="U113" i="64" l="1"/>
  <c r="P115" i="64"/>
  <c r="Q115" i="64"/>
  <c r="AB113" i="64"/>
  <c r="S114" i="64"/>
  <c r="T114" i="64"/>
  <c r="L111" i="64"/>
  <c r="M111" i="64"/>
  <c r="W115" i="64"/>
  <c r="X115" i="64"/>
  <c r="Z114" i="64"/>
  <c r="AA114" i="64"/>
  <c r="E114" i="64"/>
  <c r="F114" i="64"/>
  <c r="J112" i="64"/>
  <c r="I112" i="64"/>
  <c r="N110" i="64"/>
  <c r="C115" i="64"/>
  <c r="B115" i="64"/>
  <c r="G113" i="64"/>
  <c r="Z115" i="64" l="1"/>
  <c r="AA115" i="64"/>
  <c r="L112" i="64"/>
  <c r="M112" i="64"/>
  <c r="I113" i="64"/>
  <c r="J113" i="64"/>
  <c r="U114" i="64"/>
  <c r="G114" i="64"/>
  <c r="N111" i="64"/>
  <c r="AB114" i="64"/>
  <c r="P116" i="64"/>
  <c r="Q116" i="64"/>
  <c r="P117" i="64" s="1"/>
  <c r="E115" i="64"/>
  <c r="F115" i="64"/>
  <c r="C116" i="64"/>
  <c r="B117" i="64" s="1"/>
  <c r="B116" i="64"/>
  <c r="W116" i="64"/>
  <c r="X116" i="64"/>
  <c r="W117" i="64" s="1"/>
  <c r="S115" i="64"/>
  <c r="T115" i="64"/>
  <c r="G115" i="64" l="1"/>
  <c r="E117" i="64"/>
  <c r="F117" i="64"/>
  <c r="J114" i="64"/>
  <c r="I114" i="64"/>
  <c r="L113" i="64"/>
  <c r="M113" i="64"/>
  <c r="S117" i="64"/>
  <c r="T117" i="64"/>
  <c r="E116" i="64"/>
  <c r="F116" i="64"/>
  <c r="S116" i="64"/>
  <c r="T116" i="64"/>
  <c r="N112" i="64"/>
  <c r="Z117" i="64"/>
  <c r="AA117" i="64"/>
  <c r="U115" i="64"/>
  <c r="Z116" i="64"/>
  <c r="AA116" i="64"/>
  <c r="AB115" i="64"/>
  <c r="U117" i="64" l="1"/>
  <c r="AB117" i="64"/>
  <c r="AB116" i="64"/>
  <c r="N113" i="64"/>
  <c r="L114" i="64"/>
  <c r="M114" i="64"/>
  <c r="U116" i="64"/>
  <c r="J115" i="64"/>
  <c r="I115" i="64"/>
  <c r="G116" i="64"/>
  <c r="G117" i="64"/>
  <c r="N114" i="64" l="1"/>
  <c r="L115" i="64"/>
  <c r="M115" i="64"/>
  <c r="J116" i="64"/>
  <c r="I117" i="64" s="1"/>
  <c r="I116" i="64"/>
  <c r="N115" i="64" l="1"/>
  <c r="L116" i="64"/>
  <c r="M116" i="64"/>
  <c r="L117" i="64"/>
  <c r="M117" i="64"/>
  <c r="N117" i="64" l="1"/>
  <c r="N116"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Jurij Gerbec</author>
    <author>Matej Fröhlich Novkovič</author>
  </authors>
  <commentList>
    <comment ref="D11" authorId="0" shapeId="0" xr:uid="{1BAE9BDC-CCBD-4183-B1C3-40F4BB7269C5}">
      <text>
        <r>
          <rPr>
            <b/>
            <sz val="9"/>
            <color indexed="81"/>
            <rFont val="Segoe UI"/>
            <family val="2"/>
            <charset val="238"/>
          </rPr>
          <t>Jurij Gerbec:</t>
        </r>
        <r>
          <rPr>
            <sz val="9"/>
            <color indexed="81"/>
            <rFont val="Segoe UI"/>
            <family val="2"/>
            <charset val="238"/>
          </rPr>
          <t xml:space="preserve">
Upoštevati dejanski obračunski DTP </t>
        </r>
      </text>
    </comment>
    <comment ref="C26" authorId="1" shapeId="0" xr:uid="{CAA23DB4-35D5-4CAD-86FB-7A1D34131EDA}">
      <text>
        <r>
          <rPr>
            <b/>
            <sz val="8"/>
            <color indexed="81"/>
            <rFont val="Tahoma"/>
            <family val="2"/>
            <charset val="238"/>
          </rPr>
          <t>Povprečna temperatura</t>
        </r>
      </text>
    </comment>
    <comment ref="D26" authorId="1" shapeId="0" xr:uid="{FBB5F5F7-A88B-46C4-8042-0414FF58B870}">
      <text>
        <r>
          <rPr>
            <b/>
            <sz val="8"/>
            <color indexed="81"/>
            <rFont val="Tahoma"/>
            <family val="2"/>
            <charset val="238"/>
          </rPr>
          <t>Dnevni temperaturni primankljaj</t>
        </r>
        <r>
          <rPr>
            <sz val="8"/>
            <color indexed="81"/>
            <rFont val="Tahoma"/>
            <family val="2"/>
            <charset val="238"/>
          </rPr>
          <t xml:space="preserve">
</t>
        </r>
      </text>
    </comment>
    <comment ref="H26" authorId="1" shapeId="0" xr:uid="{64DC51B1-2837-4FF6-84E5-8AE854A81968}">
      <text>
        <r>
          <rPr>
            <b/>
            <sz val="8"/>
            <color indexed="81"/>
            <rFont val="Tahoma"/>
            <family val="2"/>
            <charset val="238"/>
          </rPr>
          <t>Povprečna temperatura</t>
        </r>
      </text>
    </comment>
    <comment ref="I26" authorId="1" shapeId="0" xr:uid="{B4D54B87-EDAE-4029-9D60-2B113584BC22}">
      <text>
        <r>
          <rPr>
            <b/>
            <sz val="8"/>
            <color indexed="81"/>
            <rFont val="Tahoma"/>
            <family val="2"/>
            <charset val="238"/>
          </rPr>
          <t>Dnevni temperaturni primankljaj</t>
        </r>
        <r>
          <rPr>
            <sz val="8"/>
            <color indexed="81"/>
            <rFont val="Tahoma"/>
            <family val="2"/>
            <charset val="238"/>
          </rPr>
          <t xml:space="preserve">
</t>
        </r>
      </text>
    </comment>
    <comment ref="M26" authorId="1" shapeId="0" xr:uid="{D9FDD199-97E4-4564-BCA5-2F3D78F906C4}">
      <text>
        <r>
          <rPr>
            <b/>
            <sz val="8"/>
            <color indexed="81"/>
            <rFont val="Tahoma"/>
            <family val="2"/>
            <charset val="238"/>
          </rPr>
          <t>Povprečna temperatura</t>
        </r>
      </text>
    </comment>
    <comment ref="N26" authorId="1" shapeId="0" xr:uid="{62F0B8FC-07C0-42D3-AC59-8938777624C5}">
      <text>
        <r>
          <rPr>
            <b/>
            <sz val="8"/>
            <color indexed="81"/>
            <rFont val="Tahoma"/>
            <family val="2"/>
            <charset val="238"/>
          </rPr>
          <t>Dnevni temperaturni primankljaj</t>
        </r>
        <r>
          <rPr>
            <sz val="8"/>
            <color indexed="81"/>
            <rFont val="Tahoma"/>
            <family val="2"/>
            <charset val="238"/>
          </rPr>
          <t xml:space="preserve">
</t>
        </r>
      </text>
    </comment>
    <comment ref="R26" authorId="1" shapeId="0" xr:uid="{BBD86BCC-771B-467E-88B2-1C2028912065}">
      <text>
        <r>
          <rPr>
            <b/>
            <sz val="8"/>
            <color indexed="81"/>
            <rFont val="Tahoma"/>
            <family val="2"/>
            <charset val="238"/>
          </rPr>
          <t>Povprečna temperatura</t>
        </r>
      </text>
    </comment>
    <comment ref="S26" authorId="1" shapeId="0" xr:uid="{CD6501DD-B197-41F5-B6F2-E32BA4B354DF}">
      <text>
        <r>
          <rPr>
            <b/>
            <sz val="8"/>
            <color indexed="81"/>
            <rFont val="Tahoma"/>
            <family val="2"/>
            <charset val="238"/>
          </rPr>
          <t>Dnevni temperaturni primankljaj</t>
        </r>
        <r>
          <rPr>
            <sz val="8"/>
            <color indexed="81"/>
            <rFont val="Tahoma"/>
            <family val="2"/>
            <charset val="238"/>
          </rPr>
          <t xml:space="preserve">
</t>
        </r>
      </text>
    </comment>
    <comment ref="W26" authorId="1" shapeId="0" xr:uid="{91595287-54CF-4159-B886-1A040B26822C}">
      <text>
        <r>
          <rPr>
            <b/>
            <sz val="8"/>
            <color indexed="81"/>
            <rFont val="Tahoma"/>
            <family val="2"/>
            <charset val="238"/>
          </rPr>
          <t>Povprečna temperatura</t>
        </r>
      </text>
    </comment>
    <comment ref="X26" authorId="1" shapeId="0" xr:uid="{801B9A2F-F1C1-4095-9B4A-1A20B86548A5}">
      <text>
        <r>
          <rPr>
            <b/>
            <sz val="8"/>
            <color indexed="81"/>
            <rFont val="Tahoma"/>
            <family val="2"/>
            <charset val="238"/>
          </rPr>
          <t>Dnevni temperaturni primankljaj</t>
        </r>
        <r>
          <rPr>
            <sz val="8"/>
            <color indexed="81"/>
            <rFont val="Tahoma"/>
            <family val="2"/>
            <charset val="238"/>
          </rPr>
          <t xml:space="preserve">
</t>
        </r>
      </text>
    </comment>
    <comment ref="AB26" authorId="1" shapeId="0" xr:uid="{08C6525A-515D-4354-A9AF-11C920E5178A}">
      <text>
        <r>
          <rPr>
            <b/>
            <sz val="8"/>
            <color indexed="81"/>
            <rFont val="Tahoma"/>
            <family val="2"/>
            <charset val="238"/>
          </rPr>
          <t>Povprečna temperatura</t>
        </r>
      </text>
    </comment>
    <comment ref="AC26" authorId="1" shapeId="0" xr:uid="{4B531B2F-4BE2-4BDC-9562-D5E4C92DBBCD}">
      <text>
        <r>
          <rPr>
            <b/>
            <sz val="8"/>
            <color indexed="81"/>
            <rFont val="Tahoma"/>
            <family val="2"/>
            <charset val="238"/>
          </rPr>
          <t>Dnevni temperaturni primankljaj</t>
        </r>
        <r>
          <rPr>
            <sz val="8"/>
            <color indexed="81"/>
            <rFont val="Tahoma"/>
            <family val="2"/>
            <charset val="238"/>
          </rPr>
          <t xml:space="preserve">
</t>
        </r>
      </text>
    </comment>
    <comment ref="C60" authorId="1" shapeId="0" xr:uid="{82F55AF5-B8A3-47F3-A74E-7F289AB33E31}">
      <text>
        <r>
          <rPr>
            <b/>
            <sz val="8"/>
            <color indexed="81"/>
            <rFont val="Tahoma"/>
            <family val="2"/>
            <charset val="238"/>
          </rPr>
          <t>Povprečna temperatura</t>
        </r>
      </text>
    </comment>
    <comment ref="D60" authorId="1" shapeId="0" xr:uid="{732BBF1B-48EF-4D16-8788-DAEFE20A8640}">
      <text>
        <r>
          <rPr>
            <b/>
            <sz val="8"/>
            <color indexed="81"/>
            <rFont val="Tahoma"/>
            <family val="2"/>
            <charset val="238"/>
          </rPr>
          <t>Dnevni temperaturni primankljaj</t>
        </r>
        <r>
          <rPr>
            <sz val="8"/>
            <color indexed="81"/>
            <rFont val="Tahoma"/>
            <family val="2"/>
            <charset val="238"/>
          </rPr>
          <t xml:space="preserve">
</t>
        </r>
      </text>
    </comment>
    <comment ref="H60" authorId="1" shapeId="0" xr:uid="{DBA33398-1F65-430E-8B90-321E26C11863}">
      <text>
        <r>
          <rPr>
            <b/>
            <sz val="8"/>
            <color indexed="81"/>
            <rFont val="Tahoma"/>
            <family val="2"/>
            <charset val="238"/>
          </rPr>
          <t>Povprečna temperatura</t>
        </r>
      </text>
    </comment>
    <comment ref="I60" authorId="1" shapeId="0" xr:uid="{9F772F31-31C4-4617-BF79-14034EEA5C43}">
      <text>
        <r>
          <rPr>
            <b/>
            <sz val="8"/>
            <color indexed="81"/>
            <rFont val="Tahoma"/>
            <family val="2"/>
            <charset val="238"/>
          </rPr>
          <t>Dnevni temperaturni primankljaj</t>
        </r>
        <r>
          <rPr>
            <sz val="8"/>
            <color indexed="81"/>
            <rFont val="Tahoma"/>
            <family val="2"/>
            <charset val="238"/>
          </rPr>
          <t xml:space="preserve">
</t>
        </r>
      </text>
    </comment>
    <comment ref="M60" authorId="1" shapeId="0" xr:uid="{54A217AF-77A5-47F5-B713-565D56A3E72C}">
      <text>
        <r>
          <rPr>
            <b/>
            <sz val="8"/>
            <color indexed="81"/>
            <rFont val="Tahoma"/>
            <family val="2"/>
            <charset val="238"/>
          </rPr>
          <t>Povprečna temperatura</t>
        </r>
      </text>
    </comment>
    <comment ref="N60" authorId="1" shapeId="0" xr:uid="{1885383B-6097-4946-A236-48D6B6E0CC45}">
      <text>
        <r>
          <rPr>
            <b/>
            <sz val="8"/>
            <color indexed="81"/>
            <rFont val="Tahoma"/>
            <family val="2"/>
            <charset val="238"/>
          </rPr>
          <t>Dnevni temperaturni primankljaj</t>
        </r>
        <r>
          <rPr>
            <sz val="8"/>
            <color indexed="81"/>
            <rFont val="Tahoma"/>
            <family val="2"/>
            <charset val="238"/>
          </rPr>
          <t xml:space="preserve">
</t>
        </r>
      </text>
    </comment>
    <comment ref="R60" authorId="1" shapeId="0" xr:uid="{4E79D2A8-9948-49BD-AC37-AADEC9170315}">
      <text>
        <r>
          <rPr>
            <b/>
            <sz val="8"/>
            <color indexed="81"/>
            <rFont val="Tahoma"/>
            <family val="2"/>
            <charset val="238"/>
          </rPr>
          <t>Povprečna temperatura</t>
        </r>
      </text>
    </comment>
    <comment ref="S60" authorId="1" shapeId="0" xr:uid="{09CF19F8-A499-47B4-8F77-32853BD9B2B9}">
      <text>
        <r>
          <rPr>
            <b/>
            <sz val="8"/>
            <color indexed="81"/>
            <rFont val="Tahoma"/>
            <family val="2"/>
            <charset val="238"/>
          </rPr>
          <t>Dnevni temperaturni primankljaj</t>
        </r>
        <r>
          <rPr>
            <sz val="8"/>
            <color indexed="81"/>
            <rFont val="Tahoma"/>
            <family val="2"/>
            <charset val="238"/>
          </rPr>
          <t xml:space="preserve">
</t>
        </r>
      </text>
    </comment>
    <comment ref="W60" authorId="1" shapeId="0" xr:uid="{87B326D3-4BF2-4083-9609-A18E8D42D9F8}">
      <text>
        <r>
          <rPr>
            <b/>
            <sz val="8"/>
            <color indexed="81"/>
            <rFont val="Tahoma"/>
            <family val="2"/>
            <charset val="238"/>
          </rPr>
          <t>Povprečna temperatura</t>
        </r>
      </text>
    </comment>
    <comment ref="X60" authorId="1" shapeId="0" xr:uid="{B271AF0B-71B1-4BF3-B8FD-E0E9A5B0DDD6}">
      <text>
        <r>
          <rPr>
            <b/>
            <sz val="8"/>
            <color indexed="81"/>
            <rFont val="Tahoma"/>
            <family val="2"/>
            <charset val="238"/>
          </rPr>
          <t>Dnevni temperaturni primankljaj</t>
        </r>
        <r>
          <rPr>
            <sz val="8"/>
            <color indexed="81"/>
            <rFont val="Tahoma"/>
            <family val="2"/>
            <charset val="238"/>
          </rPr>
          <t xml:space="preserve">
</t>
        </r>
      </text>
    </comment>
    <comment ref="AB60" authorId="1" shapeId="0" xr:uid="{83814C9B-D285-4C59-87CE-AB01C40A2242}">
      <text>
        <r>
          <rPr>
            <b/>
            <sz val="8"/>
            <color indexed="81"/>
            <rFont val="Tahoma"/>
            <family val="2"/>
            <charset val="238"/>
          </rPr>
          <t>Povprečna temperatura</t>
        </r>
      </text>
    </comment>
    <comment ref="AC60" authorId="1" shapeId="0" xr:uid="{2D612699-340E-48A8-91E9-F1A51FC12E02}">
      <text>
        <r>
          <rPr>
            <b/>
            <sz val="8"/>
            <color indexed="81"/>
            <rFont val="Tahoma"/>
            <family val="2"/>
            <charset val="238"/>
          </rPr>
          <t>Dnevni temperaturni primankljaj</t>
        </r>
        <r>
          <rPr>
            <sz val="8"/>
            <color indexed="81"/>
            <rFont val="Tahoma"/>
            <family val="2"/>
            <charset val="238"/>
          </rPr>
          <t xml:space="preserve">
</t>
        </r>
      </text>
    </comment>
    <comment ref="C96" authorId="1" shapeId="0" xr:uid="{875231FD-29E8-4539-B2CB-9C1F93037C35}">
      <text>
        <r>
          <rPr>
            <b/>
            <sz val="8"/>
            <color indexed="81"/>
            <rFont val="Tahoma"/>
            <family val="2"/>
            <charset val="238"/>
          </rPr>
          <t>Povprečna temperatura</t>
        </r>
      </text>
    </comment>
    <comment ref="D96" authorId="1" shapeId="0" xr:uid="{3C27A8C7-3942-4142-B6C6-699B8E5CB9D7}">
      <text>
        <r>
          <rPr>
            <b/>
            <sz val="8"/>
            <color indexed="81"/>
            <rFont val="Tahoma"/>
            <family val="2"/>
            <charset val="238"/>
          </rPr>
          <t>Dnevni temperaturni primankljaj</t>
        </r>
        <r>
          <rPr>
            <sz val="8"/>
            <color indexed="81"/>
            <rFont val="Tahoma"/>
            <family val="2"/>
            <charset val="238"/>
          </rPr>
          <t xml:space="preserve">
</t>
        </r>
      </text>
    </comment>
    <comment ref="H96" authorId="1" shapeId="0" xr:uid="{8460157F-9CB1-4163-88AE-DE20E638FBAB}">
      <text>
        <r>
          <rPr>
            <b/>
            <sz val="8"/>
            <color indexed="81"/>
            <rFont val="Tahoma"/>
            <family val="2"/>
            <charset val="238"/>
          </rPr>
          <t>Povprečna temperatura</t>
        </r>
      </text>
    </comment>
    <comment ref="I96" authorId="1" shapeId="0" xr:uid="{D184CFD0-1972-4629-BC40-64596B515F5F}">
      <text>
        <r>
          <rPr>
            <b/>
            <sz val="8"/>
            <color indexed="81"/>
            <rFont val="Tahoma"/>
            <family val="2"/>
            <charset val="238"/>
          </rPr>
          <t>Dnevni temperaturni primankljaj</t>
        </r>
        <r>
          <rPr>
            <sz val="8"/>
            <color indexed="81"/>
            <rFont val="Tahoma"/>
            <family val="2"/>
            <charset val="238"/>
          </rPr>
          <t xml:space="preserve">
</t>
        </r>
      </text>
    </comment>
    <comment ref="M96" authorId="1" shapeId="0" xr:uid="{C3AD2EA6-5AF7-4DC1-B87C-2C1249A37627}">
      <text>
        <r>
          <rPr>
            <b/>
            <sz val="8"/>
            <color indexed="81"/>
            <rFont val="Tahoma"/>
            <family val="2"/>
            <charset val="238"/>
          </rPr>
          <t>Povprečna temperatura</t>
        </r>
      </text>
    </comment>
    <comment ref="N96" authorId="1" shapeId="0" xr:uid="{0D0C9FE1-091C-4F22-BCAF-1E51A1388559}">
      <text>
        <r>
          <rPr>
            <b/>
            <sz val="8"/>
            <color indexed="81"/>
            <rFont val="Tahoma"/>
            <family val="2"/>
            <charset val="238"/>
          </rPr>
          <t>Dnevni temperaturni primankljaj</t>
        </r>
        <r>
          <rPr>
            <sz val="8"/>
            <color indexed="81"/>
            <rFont val="Tahoma"/>
            <family val="2"/>
            <charset val="238"/>
          </rPr>
          <t xml:space="preserve">
</t>
        </r>
      </text>
    </comment>
    <comment ref="R96" authorId="1" shapeId="0" xr:uid="{1099664A-C057-43FC-93BA-CA8BCBB4E760}">
      <text>
        <r>
          <rPr>
            <b/>
            <sz val="8"/>
            <color indexed="81"/>
            <rFont val="Tahoma"/>
            <family val="2"/>
            <charset val="238"/>
          </rPr>
          <t>Povprečna temperatura</t>
        </r>
      </text>
    </comment>
    <comment ref="S96" authorId="1" shapeId="0" xr:uid="{5B83DB7B-C165-4C1D-B852-16DB76AC2FA8}">
      <text>
        <r>
          <rPr>
            <b/>
            <sz val="8"/>
            <color indexed="81"/>
            <rFont val="Tahoma"/>
            <family val="2"/>
            <charset val="238"/>
          </rPr>
          <t>Dnevni temperaturni primankljaj</t>
        </r>
        <r>
          <rPr>
            <sz val="8"/>
            <color indexed="81"/>
            <rFont val="Tahoma"/>
            <family val="2"/>
            <charset val="238"/>
          </rPr>
          <t xml:space="preserve">
</t>
        </r>
      </text>
    </comment>
    <comment ref="W96" authorId="1" shapeId="0" xr:uid="{2CB3A526-0BBD-493A-B176-477A1457E64D}">
      <text>
        <r>
          <rPr>
            <b/>
            <sz val="8"/>
            <color indexed="81"/>
            <rFont val="Tahoma"/>
            <family val="2"/>
            <charset val="238"/>
          </rPr>
          <t>Povprečna temperatura</t>
        </r>
      </text>
    </comment>
    <comment ref="X96" authorId="1" shapeId="0" xr:uid="{E5AC74C3-6C06-4F1A-B69A-EF2202D33DE8}">
      <text>
        <r>
          <rPr>
            <b/>
            <sz val="8"/>
            <color indexed="81"/>
            <rFont val="Tahoma"/>
            <family val="2"/>
            <charset val="238"/>
          </rPr>
          <t>Dnevni temperaturni primankljaj</t>
        </r>
        <r>
          <rPr>
            <sz val="8"/>
            <color indexed="81"/>
            <rFont val="Tahoma"/>
            <family val="2"/>
            <charset val="238"/>
          </rPr>
          <t xml:space="preserve">
</t>
        </r>
      </text>
    </comment>
    <comment ref="AB96" authorId="1" shapeId="0" xr:uid="{20FA36BE-2C5F-4545-A75F-0C2670CF9EB7}">
      <text>
        <r>
          <rPr>
            <b/>
            <sz val="8"/>
            <color indexed="81"/>
            <rFont val="Tahoma"/>
            <family val="2"/>
            <charset val="238"/>
          </rPr>
          <t>Povprečna temperatura</t>
        </r>
      </text>
    </comment>
    <comment ref="AC96" authorId="1" shapeId="0" xr:uid="{AC2E5983-BF5C-4D02-B4E9-E8C75E606A78}">
      <text>
        <r>
          <rPr>
            <b/>
            <sz val="8"/>
            <color indexed="81"/>
            <rFont val="Tahoma"/>
            <family val="2"/>
            <charset val="238"/>
          </rPr>
          <t>Dnevni temperaturni primankljaj</t>
        </r>
        <r>
          <rPr>
            <sz val="8"/>
            <color indexed="81"/>
            <rFont val="Tahoma"/>
            <family val="2"/>
            <charset val="238"/>
          </rPr>
          <t xml:space="preserve">
</t>
        </r>
      </text>
    </comment>
    <comment ref="C130" authorId="1" shapeId="0" xr:uid="{64AA2BAD-3830-477F-9042-5357961D1246}">
      <text>
        <r>
          <rPr>
            <b/>
            <sz val="8"/>
            <color indexed="81"/>
            <rFont val="Tahoma"/>
            <family val="2"/>
            <charset val="238"/>
          </rPr>
          <t>Povprečna temperatura</t>
        </r>
      </text>
    </comment>
    <comment ref="D130" authorId="1" shapeId="0" xr:uid="{C0BC04EE-1409-47F1-BB1B-9622723A04B2}">
      <text>
        <r>
          <rPr>
            <b/>
            <sz val="8"/>
            <color indexed="81"/>
            <rFont val="Tahoma"/>
            <family val="2"/>
            <charset val="238"/>
          </rPr>
          <t>Dnevni temperaturni primankljaj</t>
        </r>
        <r>
          <rPr>
            <sz val="8"/>
            <color indexed="81"/>
            <rFont val="Tahoma"/>
            <family val="2"/>
            <charset val="238"/>
          </rPr>
          <t xml:space="preserve">
</t>
        </r>
      </text>
    </comment>
    <comment ref="H130" authorId="1" shapeId="0" xr:uid="{7D545A07-55E9-4A2C-B0F8-59D926672DF1}">
      <text>
        <r>
          <rPr>
            <b/>
            <sz val="8"/>
            <color indexed="81"/>
            <rFont val="Tahoma"/>
            <family val="2"/>
            <charset val="238"/>
          </rPr>
          <t>Povprečna temperatura</t>
        </r>
      </text>
    </comment>
    <comment ref="I130" authorId="1" shapeId="0" xr:uid="{0CB09DB2-9F2E-46BC-9291-5799871AA603}">
      <text>
        <r>
          <rPr>
            <b/>
            <sz val="8"/>
            <color indexed="81"/>
            <rFont val="Tahoma"/>
            <family val="2"/>
            <charset val="238"/>
          </rPr>
          <t>Dnevni temperaturni primankljaj</t>
        </r>
        <r>
          <rPr>
            <sz val="8"/>
            <color indexed="81"/>
            <rFont val="Tahoma"/>
            <family val="2"/>
            <charset val="238"/>
          </rPr>
          <t xml:space="preserve">
</t>
        </r>
      </text>
    </comment>
    <comment ref="M130" authorId="1" shapeId="0" xr:uid="{A30DEE89-2181-4AC5-B71B-7CF2709B920D}">
      <text>
        <r>
          <rPr>
            <b/>
            <sz val="8"/>
            <color indexed="81"/>
            <rFont val="Tahoma"/>
            <family val="2"/>
            <charset val="238"/>
          </rPr>
          <t>Povprečna temperatura</t>
        </r>
      </text>
    </comment>
    <comment ref="N130" authorId="1" shapeId="0" xr:uid="{28DB8ECB-D74B-47D8-9C71-46A34E5131B4}">
      <text>
        <r>
          <rPr>
            <b/>
            <sz val="8"/>
            <color indexed="81"/>
            <rFont val="Tahoma"/>
            <family val="2"/>
            <charset val="238"/>
          </rPr>
          <t>Dnevni temperaturni primankljaj</t>
        </r>
        <r>
          <rPr>
            <sz val="8"/>
            <color indexed="81"/>
            <rFont val="Tahoma"/>
            <family val="2"/>
            <charset val="238"/>
          </rPr>
          <t xml:space="preserve">
</t>
        </r>
      </text>
    </comment>
    <comment ref="R130" authorId="1" shapeId="0" xr:uid="{09C57DD9-08C5-4A10-A84F-0F549437F315}">
      <text>
        <r>
          <rPr>
            <b/>
            <sz val="8"/>
            <color indexed="81"/>
            <rFont val="Tahoma"/>
            <family val="2"/>
            <charset val="238"/>
          </rPr>
          <t>Povprečna temperatura</t>
        </r>
      </text>
    </comment>
    <comment ref="S130" authorId="1" shapeId="0" xr:uid="{2FAF22C4-BA77-4828-9112-E6E175FD8280}">
      <text>
        <r>
          <rPr>
            <b/>
            <sz val="8"/>
            <color indexed="81"/>
            <rFont val="Tahoma"/>
            <family val="2"/>
            <charset val="238"/>
          </rPr>
          <t>Dnevni temperaturni primankljaj</t>
        </r>
        <r>
          <rPr>
            <sz val="8"/>
            <color indexed="81"/>
            <rFont val="Tahoma"/>
            <family val="2"/>
            <charset val="238"/>
          </rPr>
          <t xml:space="preserve">
</t>
        </r>
      </text>
    </comment>
    <comment ref="W130" authorId="1" shapeId="0" xr:uid="{EFD1515C-7821-4984-8D13-480F413D7950}">
      <text>
        <r>
          <rPr>
            <b/>
            <sz val="8"/>
            <color indexed="81"/>
            <rFont val="Tahoma"/>
            <family val="2"/>
            <charset val="238"/>
          </rPr>
          <t>Povprečna temperatura</t>
        </r>
      </text>
    </comment>
    <comment ref="X130" authorId="1" shapeId="0" xr:uid="{0120815C-C5A9-4FBF-9958-9B7DC0A284A4}">
      <text>
        <r>
          <rPr>
            <b/>
            <sz val="8"/>
            <color indexed="81"/>
            <rFont val="Tahoma"/>
            <family val="2"/>
            <charset val="238"/>
          </rPr>
          <t>Dnevni temperaturni primankljaj</t>
        </r>
        <r>
          <rPr>
            <sz val="8"/>
            <color indexed="81"/>
            <rFont val="Tahoma"/>
            <family val="2"/>
            <charset val="238"/>
          </rPr>
          <t xml:space="preserve">
</t>
        </r>
      </text>
    </comment>
    <comment ref="AB130" authorId="1" shapeId="0" xr:uid="{B2EACED1-DA3A-4E18-B8D9-5F07EC3473E2}">
      <text>
        <r>
          <rPr>
            <b/>
            <sz val="8"/>
            <color indexed="81"/>
            <rFont val="Tahoma"/>
            <family val="2"/>
            <charset val="238"/>
          </rPr>
          <t>Povprečna temperatura</t>
        </r>
      </text>
    </comment>
    <comment ref="AC130" authorId="1" shapeId="0" xr:uid="{FE1C19F0-679F-41E2-B380-D51926E9A961}">
      <text>
        <r>
          <rPr>
            <b/>
            <sz val="8"/>
            <color indexed="81"/>
            <rFont val="Tahoma"/>
            <family val="2"/>
            <charset val="238"/>
          </rPr>
          <t>Dnevni temperaturni primankljaj</t>
        </r>
        <r>
          <rPr>
            <sz val="8"/>
            <color indexed="81"/>
            <rFont val="Tahoma"/>
            <family val="2"/>
            <charset val="23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Jurij Gerbec</author>
  </authors>
  <commentList>
    <comment ref="K75" authorId="0" shapeId="0" xr:uid="{61A63459-AF2F-4E3B-A50F-0C3AA14CAB35}">
      <text>
        <r>
          <rPr>
            <b/>
            <sz val="14"/>
            <color indexed="81"/>
            <rFont val="Segoe UI"/>
            <family val="2"/>
            <charset val="238"/>
          </rPr>
          <t>Jurij Gerbec:</t>
        </r>
        <r>
          <rPr>
            <sz val="14"/>
            <color indexed="81"/>
            <rFont val="Segoe UI"/>
            <family val="2"/>
            <charset val="238"/>
          </rPr>
          <t xml:space="preserve">
KONTROLA: Izmerjena dejanska poraba koristne energije in izmerjena dejanska proizvedena koristna energija morata biti enaki!</t>
        </r>
      </text>
    </comment>
    <comment ref="O75" authorId="0" shapeId="0" xr:uid="{E75BCBB4-7D1C-4ABB-9B61-709E31BA50FC}">
      <text>
        <r>
          <rPr>
            <b/>
            <sz val="9"/>
            <color indexed="81"/>
            <rFont val="Segoe UI"/>
            <family val="2"/>
            <charset val="238"/>
          </rPr>
          <t>Jurij Gerbec:</t>
        </r>
        <r>
          <rPr>
            <sz val="9"/>
            <color indexed="81"/>
            <rFont val="Segoe UI"/>
            <family val="2"/>
            <charset val="238"/>
          </rPr>
          <t xml:space="preserve">
Mora biti enaka proizvodnji koristne energije</t>
        </r>
      </text>
    </comment>
    <comment ref="K78" authorId="0" shapeId="0" xr:uid="{91582445-6A85-4512-89D9-56DBAECA0DBD}">
      <text>
        <r>
          <rPr>
            <b/>
            <sz val="9"/>
            <color indexed="81"/>
            <rFont val="Segoe UI"/>
            <family val="2"/>
            <charset val="238"/>
          </rPr>
          <t>Jurij Gerbec:</t>
        </r>
        <r>
          <rPr>
            <sz val="9"/>
            <color indexed="81"/>
            <rFont val="Segoe UI"/>
            <family val="2"/>
            <charset val="238"/>
          </rPr>
          <t xml:space="preserve">
Zaokroževanje na cela števila</t>
        </r>
      </text>
    </comment>
    <comment ref="P78" authorId="0" shapeId="0" xr:uid="{F244CF0A-80FC-411A-AD94-657BD82CAE62}">
      <text>
        <r>
          <rPr>
            <b/>
            <sz val="9"/>
            <color indexed="81"/>
            <rFont val="Segoe UI"/>
            <family val="2"/>
            <charset val="238"/>
          </rPr>
          <t>Jurij Gerbec:</t>
        </r>
        <r>
          <rPr>
            <sz val="9"/>
            <color indexed="81"/>
            <rFont val="Segoe UI"/>
            <family val="2"/>
            <charset val="238"/>
          </rPr>
          <t xml:space="preserve">
Zaokroževanje na cela števila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Jurij Gerbec</author>
  </authors>
  <commentList>
    <comment ref="K75" authorId="0" shapeId="0" xr:uid="{14713029-8814-41FA-AEB3-A9A3570E1177}">
      <text>
        <r>
          <rPr>
            <b/>
            <sz val="14"/>
            <color indexed="81"/>
            <rFont val="Segoe UI"/>
            <family val="2"/>
            <charset val="238"/>
          </rPr>
          <t>Jurij Gerbec:</t>
        </r>
        <r>
          <rPr>
            <sz val="14"/>
            <color indexed="81"/>
            <rFont val="Segoe UI"/>
            <family val="2"/>
            <charset val="238"/>
          </rPr>
          <t xml:space="preserve">
KONTROLA: Izmerjena dejanska poraba koristne energije in izmerjena dejanska proizvedena koristna energija morata biti enaki!</t>
        </r>
      </text>
    </comment>
    <comment ref="O75" authorId="0" shapeId="0" xr:uid="{7731B1F8-3B0B-4ABB-A6B6-DF4D2FE62678}">
      <text>
        <r>
          <rPr>
            <b/>
            <sz val="9"/>
            <color indexed="81"/>
            <rFont val="Segoe UI"/>
            <family val="2"/>
            <charset val="238"/>
          </rPr>
          <t>Jurij Gerbec:</t>
        </r>
        <r>
          <rPr>
            <sz val="9"/>
            <color indexed="81"/>
            <rFont val="Segoe UI"/>
            <family val="2"/>
            <charset val="238"/>
          </rPr>
          <t xml:space="preserve">
Mora biti enaka proizvodnji koristne energije</t>
        </r>
      </text>
    </comment>
    <comment ref="K78" authorId="0" shapeId="0" xr:uid="{1C4F77C8-2319-4D37-A73D-D3E18E0E00CD}">
      <text>
        <r>
          <rPr>
            <b/>
            <sz val="9"/>
            <color indexed="81"/>
            <rFont val="Segoe UI"/>
            <family val="2"/>
            <charset val="238"/>
          </rPr>
          <t>Jurij Gerbec:</t>
        </r>
        <r>
          <rPr>
            <sz val="9"/>
            <color indexed="81"/>
            <rFont val="Segoe UI"/>
            <family val="2"/>
            <charset val="238"/>
          </rPr>
          <t xml:space="preserve">
Zaokroževanje na cela števila</t>
        </r>
      </text>
    </comment>
    <comment ref="P78" authorId="0" shapeId="0" xr:uid="{82A9E35A-6C23-49BE-845C-F2A18074AA84}">
      <text>
        <r>
          <rPr>
            <b/>
            <sz val="9"/>
            <color indexed="81"/>
            <rFont val="Segoe UI"/>
            <family val="2"/>
            <charset val="238"/>
          </rPr>
          <t>Jurij Gerbec:</t>
        </r>
        <r>
          <rPr>
            <sz val="9"/>
            <color indexed="81"/>
            <rFont val="Segoe UI"/>
            <family val="2"/>
            <charset val="238"/>
          </rPr>
          <t xml:space="preserve">
Zaokroževanje na cela števila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Jurij Gerbec</author>
  </authors>
  <commentList>
    <comment ref="K75" authorId="0" shapeId="0" xr:uid="{76353714-DBFB-471E-9ACD-F865883EFE73}">
      <text>
        <r>
          <rPr>
            <b/>
            <sz val="14"/>
            <color indexed="81"/>
            <rFont val="Segoe UI"/>
            <family val="2"/>
            <charset val="238"/>
          </rPr>
          <t>Jurij Gerbec:</t>
        </r>
        <r>
          <rPr>
            <sz val="14"/>
            <color indexed="81"/>
            <rFont val="Segoe UI"/>
            <family val="2"/>
            <charset val="238"/>
          </rPr>
          <t xml:space="preserve">
KONTROLA: Izmerjena dejanska poraba koristne energije in izmerjena dejanska proizvedena koristna energija morata biti enaki!</t>
        </r>
      </text>
    </comment>
    <comment ref="O75" authorId="0" shapeId="0" xr:uid="{C1034AC5-3EA2-4F54-AF81-EA1313E29BAE}">
      <text>
        <r>
          <rPr>
            <b/>
            <sz val="9"/>
            <color indexed="81"/>
            <rFont val="Segoe UI"/>
            <family val="2"/>
            <charset val="238"/>
          </rPr>
          <t>Jurij Gerbec:</t>
        </r>
        <r>
          <rPr>
            <sz val="9"/>
            <color indexed="81"/>
            <rFont val="Segoe UI"/>
            <family val="2"/>
            <charset val="238"/>
          </rPr>
          <t xml:space="preserve">
Mora biti enaka proizvodnji koristne energije</t>
        </r>
      </text>
    </comment>
    <comment ref="K78" authorId="0" shapeId="0" xr:uid="{F438481B-2A47-4DFC-AB9F-E557950F8AC5}">
      <text>
        <r>
          <rPr>
            <b/>
            <sz val="9"/>
            <color indexed="81"/>
            <rFont val="Segoe UI"/>
            <family val="2"/>
            <charset val="238"/>
          </rPr>
          <t>Jurij Gerbec:</t>
        </r>
        <r>
          <rPr>
            <sz val="9"/>
            <color indexed="81"/>
            <rFont val="Segoe UI"/>
            <family val="2"/>
            <charset val="238"/>
          </rPr>
          <t xml:space="preserve">
Zaokroževanje na cela števila</t>
        </r>
      </text>
    </comment>
    <comment ref="P78" authorId="0" shapeId="0" xr:uid="{7866DA5A-25D3-4F95-B480-692F01952769}">
      <text>
        <r>
          <rPr>
            <b/>
            <sz val="9"/>
            <color indexed="81"/>
            <rFont val="Segoe UI"/>
            <family val="2"/>
            <charset val="238"/>
          </rPr>
          <t>Jurij Gerbec:</t>
        </r>
        <r>
          <rPr>
            <sz val="9"/>
            <color indexed="81"/>
            <rFont val="Segoe UI"/>
            <family val="2"/>
            <charset val="238"/>
          </rPr>
          <t xml:space="preserve">
Zaokroževanje na cela števila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Jurij Gerbec</author>
  </authors>
  <commentList>
    <comment ref="K75" authorId="0" shapeId="0" xr:uid="{8DE8CDC9-1794-44F7-95C8-11850D41E97B}">
      <text>
        <r>
          <rPr>
            <b/>
            <sz val="14"/>
            <color indexed="81"/>
            <rFont val="Segoe UI"/>
            <family val="2"/>
            <charset val="238"/>
          </rPr>
          <t>Jurij Gerbec:</t>
        </r>
        <r>
          <rPr>
            <sz val="14"/>
            <color indexed="81"/>
            <rFont val="Segoe UI"/>
            <family val="2"/>
            <charset val="238"/>
          </rPr>
          <t xml:space="preserve">
KONTROLA: Izmerjena dejanska poraba koristne energije in izmerjena dejanska proizvedena koristna energija morata biti enaki!</t>
        </r>
      </text>
    </comment>
    <comment ref="O75" authorId="0" shapeId="0" xr:uid="{A03A5793-4098-4DEC-B4AB-EECBE1285361}">
      <text>
        <r>
          <rPr>
            <b/>
            <sz val="9"/>
            <color indexed="81"/>
            <rFont val="Segoe UI"/>
            <family val="2"/>
            <charset val="238"/>
          </rPr>
          <t>Jurij Gerbec:</t>
        </r>
        <r>
          <rPr>
            <sz val="9"/>
            <color indexed="81"/>
            <rFont val="Segoe UI"/>
            <family val="2"/>
            <charset val="238"/>
          </rPr>
          <t xml:space="preserve">
Mora biti enaka proizvodnji koristne energije</t>
        </r>
      </text>
    </comment>
    <comment ref="K78" authorId="0" shapeId="0" xr:uid="{30966B76-6EAB-47D5-A7D3-8CE39D49EC00}">
      <text>
        <r>
          <rPr>
            <b/>
            <sz val="9"/>
            <color indexed="81"/>
            <rFont val="Segoe UI"/>
            <family val="2"/>
            <charset val="238"/>
          </rPr>
          <t>Jurij Gerbec:</t>
        </r>
        <r>
          <rPr>
            <sz val="9"/>
            <color indexed="81"/>
            <rFont val="Segoe UI"/>
            <family val="2"/>
            <charset val="238"/>
          </rPr>
          <t xml:space="preserve">
Zaokroževanje na cela števila</t>
        </r>
      </text>
    </comment>
    <comment ref="P78" authorId="0" shapeId="0" xr:uid="{32595E1B-6C19-4016-957A-41A6569700CE}">
      <text>
        <r>
          <rPr>
            <b/>
            <sz val="9"/>
            <color indexed="81"/>
            <rFont val="Segoe UI"/>
            <family val="2"/>
            <charset val="238"/>
          </rPr>
          <t>Jurij Gerbec:</t>
        </r>
        <r>
          <rPr>
            <sz val="9"/>
            <color indexed="81"/>
            <rFont val="Segoe UI"/>
            <family val="2"/>
            <charset val="238"/>
          </rPr>
          <t xml:space="preserve">
Zaokroževanje na cela števila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<sst xmlns="http://schemas.openxmlformats.org/spreadsheetml/2006/main" count="3877" uniqueCount="586">
  <si>
    <t>CELOVITA ENERGETSKA PRENOVA</t>
  </si>
  <si>
    <t>PROGRAM IZVAJANJA KONCESIJE</t>
  </si>
  <si>
    <t>Vsebina</t>
  </si>
  <si>
    <t>Navodila</t>
  </si>
  <si>
    <t>Osnovni podatki</t>
  </si>
  <si>
    <t>Referenčne količine</t>
  </si>
  <si>
    <t>Skupni zajamčeni prihranki</t>
  </si>
  <si>
    <t>Neodvisne spremenljivke</t>
  </si>
  <si>
    <t>Presežni prihranki</t>
  </si>
  <si>
    <t>Navodila za izpolnjevanje, obrazložitve, opombe</t>
  </si>
  <si>
    <t>Ponudnik lahko spreminja programa izvajanja. V primeru spreminjanja enačb in postavitve je odgovornost ponudnika, da primerno uredi povezave med celicami!</t>
  </si>
  <si>
    <t>Zaokroževanje</t>
  </si>
  <si>
    <t>Strošek, EUR</t>
  </si>
  <si>
    <t>2 decimalni mesti</t>
  </si>
  <si>
    <t>Cena, EUR/MWh</t>
  </si>
  <si>
    <t>2 decimalni mest</t>
  </si>
  <si>
    <t>Moč, kW</t>
  </si>
  <si>
    <t>1 decimalno mesto</t>
  </si>
  <si>
    <t>Energija, kWh</t>
  </si>
  <si>
    <t>0 decimalnih mest</t>
  </si>
  <si>
    <t>Faktor prilagoditve, /</t>
  </si>
  <si>
    <t>4 decimalna mesta</t>
  </si>
  <si>
    <t xml:space="preserve">Opombe: </t>
  </si>
  <si>
    <t>Vsi zneski so BREZ DDV.</t>
  </si>
  <si>
    <t>* V primeru izvedbe ukrepov, ki dvigujejo udobje, ponudnik vpiše prilagoditev rabe toplote oz. elektrike ob ustrezni utemeljitvi</t>
  </si>
  <si>
    <t xml:space="preserve">** Stroški vzdrževanja energetskih naprav vključujejo tekoče vzdrževanje, redno servisiranje, zakonske preglede ipd. </t>
  </si>
  <si>
    <t>***Stroški in cene vključujejo celoten strošek pridobitve energije, ki vključuje omrežnino, distribucijo, prispevke in trošarine (brez DDV).</t>
  </si>
  <si>
    <t xml:space="preserve">*prilagoditev rabe toplote oz elektrike </t>
  </si>
  <si>
    <t>Razlog</t>
  </si>
  <si>
    <t>*vpiši razlog</t>
  </si>
  <si>
    <t>Metodologija prilagoditve</t>
  </si>
  <si>
    <t>*vpiši</t>
  </si>
  <si>
    <t>Izračun prilagoditve</t>
  </si>
  <si>
    <t>*vpiši/priloži izračun</t>
  </si>
  <si>
    <t>Kratice</t>
  </si>
  <si>
    <t>DO</t>
  </si>
  <si>
    <t>Daljinsko ogrevanje</t>
  </si>
  <si>
    <t>ZP</t>
  </si>
  <si>
    <t>Zemeljski plin</t>
  </si>
  <si>
    <t>UNP</t>
  </si>
  <si>
    <t>Utekočinjen naftni plin</t>
  </si>
  <si>
    <t>ELKO</t>
  </si>
  <si>
    <t>Ekstra lahko kurilno olje</t>
  </si>
  <si>
    <t>EE</t>
  </si>
  <si>
    <t>Električna energija</t>
  </si>
  <si>
    <t>TČ</t>
  </si>
  <si>
    <t>Toplotna črpalka</t>
  </si>
  <si>
    <t>TP</t>
  </si>
  <si>
    <t>Temperaturni primanjkljaj</t>
  </si>
  <si>
    <t>FP</t>
  </si>
  <si>
    <t>Faktor prilagoditve</t>
  </si>
  <si>
    <t>Št.</t>
  </si>
  <si>
    <t>ID</t>
  </si>
  <si>
    <t>Naziv objekta</t>
  </si>
  <si>
    <t>Celotna kvadratura</t>
  </si>
  <si>
    <r>
      <t>m</t>
    </r>
    <r>
      <rPr>
        <vertAlign val="superscript"/>
        <sz val="10"/>
        <color theme="0"/>
        <rFont val="Arial"/>
        <family val="2"/>
        <charset val="238"/>
      </rPr>
      <t>2</t>
    </r>
  </si>
  <si>
    <t>Hlajena kvadratura</t>
  </si>
  <si>
    <t>n.p.</t>
  </si>
  <si>
    <t>Ogrevana prostornina</t>
  </si>
  <si>
    <r>
      <t>m</t>
    </r>
    <r>
      <rPr>
        <vertAlign val="superscript"/>
        <sz val="10"/>
        <color theme="0"/>
        <rFont val="Arial"/>
        <family val="2"/>
        <charset val="238"/>
      </rPr>
      <t>3</t>
    </r>
  </si>
  <si>
    <t>Leto izgradnje</t>
  </si>
  <si>
    <t>Leto obnove</t>
  </si>
  <si>
    <t>Toplota</t>
  </si>
  <si>
    <t>Energent</t>
  </si>
  <si>
    <t>kWh</t>
  </si>
  <si>
    <t>Cena energenta</t>
  </si>
  <si>
    <t>EUR/MWh</t>
  </si>
  <si>
    <t>Strošek - osnovna poraba</t>
  </si>
  <si>
    <t>EUR</t>
  </si>
  <si>
    <t>Strošek - prilagoditev</t>
  </si>
  <si>
    <t>Strošek - referenčna poraba</t>
  </si>
  <si>
    <t>Vzdrževanje</t>
  </si>
  <si>
    <t>Strošek tekočega in investicijskega vzdrževanja energetskih naprav</t>
  </si>
  <si>
    <t>Stroški skupaj energenti + vzdrževanje</t>
  </si>
  <si>
    <t>Osnovni stroški</t>
  </si>
  <si>
    <t>Seznam objektov</t>
  </si>
  <si>
    <t>Naslov</t>
  </si>
  <si>
    <t>Tip objekta</t>
  </si>
  <si>
    <t>KO / št. stavbe</t>
  </si>
  <si>
    <t>Kontaktna oseba</t>
  </si>
  <si>
    <t>Kontakt</t>
  </si>
  <si>
    <t>Pogodbeno zagotavljanje prihrankov</t>
  </si>
  <si>
    <t>Osnovni podatki o objektu</t>
  </si>
  <si>
    <t>Referenčna raba - toplota</t>
  </si>
  <si>
    <t>Seznam predvidenih ukrepov</t>
  </si>
  <si>
    <t>Naziv ukrepa</t>
  </si>
  <si>
    <t>Referenčna raba električna energija</t>
  </si>
  <si>
    <t>Stroški predlaganih ukrepov brez DDV</t>
  </si>
  <si>
    <t>DDV (22 %)</t>
  </si>
  <si>
    <t>Stroški predlaganih ukrepov z DDV</t>
  </si>
  <si>
    <t>*Tehnične podlage za izvedbo faze konkurenčnega dialoga javnega razpisa za celovito energetsko prenovo ukrepov 7 objektov UKC Ljubljana</t>
  </si>
  <si>
    <t>Neto sedanja vrednost</t>
  </si>
  <si>
    <t>Novopričakovana raba - toplota</t>
  </si>
  <si>
    <t>Izračun neto sedanje vrednosti:</t>
  </si>
  <si>
    <t>Energent 1</t>
  </si>
  <si>
    <t>leto</t>
  </si>
  <si>
    <t>Prihranek</t>
  </si>
  <si>
    <t>NSV</t>
  </si>
  <si>
    <t>Energent 2</t>
  </si>
  <si>
    <t>EE za TČ</t>
  </si>
  <si>
    <t>Energent 3</t>
  </si>
  <si>
    <t>Zajamčeni prihranek stroškov</t>
  </si>
  <si>
    <t>%</t>
  </si>
  <si>
    <t>Novopričakovana raba - električna energija</t>
  </si>
  <si>
    <t>Prihranek energenta</t>
  </si>
  <si>
    <t>SKUPAJ NSV:</t>
  </si>
  <si>
    <t>Novopričakovani strošek</t>
  </si>
  <si>
    <t>Diskontna stopnja</t>
  </si>
  <si>
    <t>Zajamčeni relativni prihranek stroškov</t>
  </si>
  <si>
    <t>Novopričakovani strošek tekočega in investicijskega vzdrževanja energetskih naprav</t>
  </si>
  <si>
    <t>Zajamčeni prihranek stroškov tekočega in investicijskega vzdrževanja</t>
  </si>
  <si>
    <t>Zajamčeni relativni prihranek stroškov tekočega in investicijskega vzdrževanja</t>
  </si>
  <si>
    <t>Skupne vrednosti</t>
  </si>
  <si>
    <t>Ogrevanje</t>
  </si>
  <si>
    <t>TSV</t>
  </si>
  <si>
    <t>Prezračevanje</t>
  </si>
  <si>
    <t>Zajamčeni letni prihranek</t>
  </si>
  <si>
    <t>Zajamčeni relativni letni prihranek</t>
  </si>
  <si>
    <t>Neto sedanja vrednost prihrankov</t>
  </si>
  <si>
    <t>EE, kWh</t>
  </si>
  <si>
    <t>Razsvetljava</t>
  </si>
  <si>
    <t>Nazivna moč, kW</t>
  </si>
  <si>
    <t>Ure obratovanja, h</t>
  </si>
  <si>
    <t>Razsvetljava (zunanja in notranja)</t>
  </si>
  <si>
    <t>Prenovljeno stanje</t>
  </si>
  <si>
    <t>Prihranek raba energije, kWh</t>
  </si>
  <si>
    <t>Skupno</t>
  </si>
  <si>
    <t>Skupaj stroški ukrepov</t>
  </si>
  <si>
    <t>Obračunsko leto</t>
  </si>
  <si>
    <t>Referenčni dnevni temperaturni primanjkljaj</t>
  </si>
  <si>
    <t>Kdni</t>
  </si>
  <si>
    <t xml:space="preserve">*Računski temperaturni primanjkljaj </t>
  </si>
  <si>
    <t>Obračunski dnevni temperaturni primankljaj</t>
  </si>
  <si>
    <t>*Dejanski temperaturni primanjkljaj v obračunskem letu</t>
  </si>
  <si>
    <t>Faktor TP</t>
  </si>
  <si>
    <t>/</t>
  </si>
  <si>
    <t>Referenčna zasedenost</t>
  </si>
  <si>
    <t>Obračunska zasedenost</t>
  </si>
  <si>
    <t>Faktor zasedenost</t>
  </si>
  <si>
    <t>OBRAČUN PRIHRANKOV NA OBJEKTU</t>
  </si>
  <si>
    <t>ID OBJEKTA</t>
  </si>
  <si>
    <t>OB001</t>
  </si>
  <si>
    <t>OBRAČUNSKO OBDOBJE</t>
  </si>
  <si>
    <t>PROJEKT</t>
  </si>
  <si>
    <t>NAZIV OBJEKTA</t>
  </si>
  <si>
    <t>STATUS OBRAČUNA</t>
  </si>
  <si>
    <t>NAROČNIK</t>
  </si>
  <si>
    <t>NASLOV</t>
  </si>
  <si>
    <t xml:space="preserve"> </t>
  </si>
  <si>
    <t>POGODBA</t>
  </si>
  <si>
    <t>REKAPITULACIJA</t>
  </si>
  <si>
    <t>POGODBENE OBRAČUNSKE VREDNOSTI - REFERENČNO OBDOBJE</t>
  </si>
  <si>
    <t>IZHODIŠČNE VREDNOSTI - OBRAČUNSKO OBDOBJE</t>
  </si>
  <si>
    <t>DOSEŽENE VREDNOSTI V OBRAČUNSKEM OBDOBJU</t>
  </si>
  <si>
    <t>RAZLIKA MED DOSEŽENIM IN ZAJAMČENIM PRIHRANKOM V OBRAČUNSKEM OBDOBJU</t>
  </si>
  <si>
    <t>ZAJAMČENI PRIHRANEK</t>
  </si>
  <si>
    <t>DOSEŽENI PRIHRANEK</t>
  </si>
  <si>
    <t>PRIHRANEK</t>
  </si>
  <si>
    <t>€</t>
  </si>
  <si>
    <t>bonus/malus</t>
  </si>
  <si>
    <t>DOVEDENA ENERGIJA ZA OGREVANJE</t>
  </si>
  <si>
    <t>ELEKTRIKA</t>
  </si>
  <si>
    <t>VZDRŽEVANJE</t>
  </si>
  <si>
    <t>SKUPAJ</t>
  </si>
  <si>
    <t>I. TOPLOTA</t>
  </si>
  <si>
    <t>korekcijski faktor DTP</t>
  </si>
  <si>
    <t>Referenčno obdobje:</t>
  </si>
  <si>
    <t>Izhodiščno obračunsko obdobje*:</t>
  </si>
  <si>
    <t>Dejansko obračunsko obdobje</t>
  </si>
  <si>
    <t>Podnebna postaja:</t>
  </si>
  <si>
    <t>Izhodiščni DTP</t>
  </si>
  <si>
    <t>Obračunski DTP</t>
  </si>
  <si>
    <t>Pogodbeni DTP v ref. obdobju:</t>
  </si>
  <si>
    <t>Faktor DTP za obdobje</t>
  </si>
  <si>
    <t>A. POGODBENE VREDNOSTI ZA REFERENČNO OBDOBJE</t>
  </si>
  <si>
    <t>Metoda izračuna prihrankov</t>
  </si>
  <si>
    <t>Vrsta rabe toplote</t>
  </si>
  <si>
    <t>ELEKTRIČNA ENERGIJA</t>
  </si>
  <si>
    <t>DALJINSKO OGREVANJE</t>
  </si>
  <si>
    <t>raba dovedene energije</t>
  </si>
  <si>
    <t xml:space="preserve">referenčna cena </t>
  </si>
  <si>
    <t>referenčna cena</t>
  </si>
  <si>
    <t xml:space="preserve">€/kWh </t>
  </si>
  <si>
    <t>€/kWh</t>
  </si>
  <si>
    <t>Merjeni</t>
  </si>
  <si>
    <t>OGREVANJE</t>
  </si>
  <si>
    <t>SANITARNA TOPLA VODA</t>
  </si>
  <si>
    <t>Normirani</t>
  </si>
  <si>
    <t>Zajamčeni prihranki</t>
  </si>
  <si>
    <t>nov strošek dovedene energije</t>
  </si>
  <si>
    <t>dejanski merjeni prihranek dovedene energije</t>
  </si>
  <si>
    <t>dejanski normirani prihranek dovedene energije</t>
  </si>
  <si>
    <t>skupni prihranek dovedene energije</t>
  </si>
  <si>
    <t>dejanski merjeni prihranek</t>
  </si>
  <si>
    <t>dejanski normirani prihranek</t>
  </si>
  <si>
    <t>Skupaj zajamčeni prihranki</t>
  </si>
  <si>
    <t>*Izhodiščne vrednosti za obračunsko obdobje se spreminjajo samo v primeru spremembe skrajšanega obračunskega obdobja</t>
  </si>
  <si>
    <t>B. IZHODIŠČNE VREDNOSTI ZA OBRAČUNSKO OBDOBJE</t>
  </si>
  <si>
    <t>Način izračuna prihrankov</t>
  </si>
  <si>
    <t>Korekcijski faktor *
za dolžino obračunskega  obdobja</t>
  </si>
  <si>
    <t>Korekcijski faktor za obračunsko obdobje</t>
  </si>
  <si>
    <t xml:space="preserve">Skupaj zajamčeni prihranki </t>
  </si>
  <si>
    <t>C. DOSEŽENE/DEJANSKE VREDNOSTI V OBRAČUNSKEM OBDOBJU</t>
  </si>
  <si>
    <t>Določitev dejanske neprilagojene rabe energije</t>
  </si>
  <si>
    <t>DEJANSKA NEPRILAGOJENA RABA DOVEDENE ENERGIJE</t>
  </si>
  <si>
    <t>PRILAGODITVE RABE ENERGIJE</t>
  </si>
  <si>
    <t>PRILAGOJENA RABA DOVEDENE ENERGIJE IN STROŠKI</t>
  </si>
  <si>
    <t>ELEKTRIČNA ENERGIJA ZA PRETVORBO</t>
  </si>
  <si>
    <t>skupni faktor rutinske prilagoditve</t>
  </si>
  <si>
    <t>SKUPAJ RABA</t>
  </si>
  <si>
    <t>SKUPAJ STROŠEK
(ref. cene)</t>
  </si>
  <si>
    <t>merilnik</t>
  </si>
  <si>
    <t>Vrsta energije</t>
  </si>
  <si>
    <t>Vrsta rabe toplote (po pretvorbi)</t>
  </si>
  <si>
    <t>Vrednost</t>
  </si>
  <si>
    <t>faktorji rutinske prilagoditve (1)</t>
  </si>
  <si>
    <t>TSV1</t>
  </si>
  <si>
    <t>koristna</t>
  </si>
  <si>
    <t>TSV2</t>
  </si>
  <si>
    <t>TSV3</t>
  </si>
  <si>
    <t>DO: 074.100</t>
  </si>
  <si>
    <t>dovedena</t>
  </si>
  <si>
    <t>ogrevanje/TSV/prezračevanje</t>
  </si>
  <si>
    <t>OSNOVA ZA OBRAČUN</t>
  </si>
  <si>
    <t>IZRAČUN DOSEGANJA PRIHRANKOV V OBRAČUNSKEM OBDOBJU</t>
  </si>
  <si>
    <t>EE-TČ</t>
  </si>
  <si>
    <t>PRILAGOJENA RABA DOVEDENE ENERGIJE</t>
  </si>
  <si>
    <t>PRILAGOJEN STROŠEK DOVEDENE ENERGIJE</t>
  </si>
  <si>
    <t>SKUPAJ DEJANSKI PRIHRANEK DOVEDENE ENERGIJE V OBRAČUNSKEM OBDOBJU</t>
  </si>
  <si>
    <t>RAZLIKA MED DEJANSKIM IN ZAJAMČENIM PRIHRANKOM</t>
  </si>
  <si>
    <t>II. ELEKTRIKA</t>
  </si>
  <si>
    <t>Vrsta rabe elektrike</t>
  </si>
  <si>
    <t>Referenčna raba elektrike (prilagojena)</t>
  </si>
  <si>
    <t>Referenčna cena elektrike</t>
  </si>
  <si>
    <t>Referenčni strošek elektrike</t>
  </si>
  <si>
    <t>Novopričakovana raba elektrike</t>
  </si>
  <si>
    <t>novopričakovana dejanska raba elektrike</t>
  </si>
  <si>
    <t>nova cena elektrike</t>
  </si>
  <si>
    <t>nov strošek elektrike</t>
  </si>
  <si>
    <t>DA</t>
  </si>
  <si>
    <t>Ostalo</t>
  </si>
  <si>
    <t>NE</t>
  </si>
  <si>
    <t>DEJANSKA NEPRILAGOJENA RABA ELEKTRIKE</t>
  </si>
  <si>
    <t>PRILAGODITEV RABE</t>
  </si>
  <si>
    <t>SKUPAJ DEJANSKI PRIHRANKI  ELEKTRIKE V OBRAČUNSKEM OBDOBJU</t>
  </si>
  <si>
    <t>skupaj merilna mesta</t>
  </si>
  <si>
    <t>porabniki, ki niso raba objekta</t>
  </si>
  <si>
    <t xml:space="preserve">SKUPAJ NEPRILAGOJENA RABA </t>
  </si>
  <si>
    <t>Faktor prilagoditve rabe</t>
  </si>
  <si>
    <t>SKUPAJ PRILAGOJENA RABA ELEKTRIKE</t>
  </si>
  <si>
    <t>SKUPAJ STROŠEK</t>
  </si>
  <si>
    <t>PRILAGOJENA RABA ELEKTRIKE</t>
  </si>
  <si>
    <t>PRILAGOJEN STROŠEK ELEKTRIKE</t>
  </si>
  <si>
    <t>III. VZDRŽEVANJE</t>
  </si>
  <si>
    <t>OBRAČUNSKE REFERENCE</t>
  </si>
  <si>
    <t>OBRAČUNSKE VREDNOSTI</t>
  </si>
  <si>
    <t>Vrsta stroška</t>
  </si>
  <si>
    <t>Referenčni strošek vzdrževanja</t>
  </si>
  <si>
    <t>novi strošek vzdrževanja</t>
  </si>
  <si>
    <t>zajamčeni prihranek vzdrževanja</t>
  </si>
  <si>
    <t>doseženi  prihranek vzdrževanja</t>
  </si>
  <si>
    <t>Toplota - prilagojeni prihranek</t>
  </si>
  <si>
    <t>Vzdrževanje - prihranek</t>
  </si>
  <si>
    <t>Skupni prilagojeni prihranek</t>
  </si>
  <si>
    <t>Tabela za izračun presežnih prihrankov</t>
  </si>
  <si>
    <t>Električna energija - prilagojeni prihranek</t>
  </si>
  <si>
    <t>Skupni zajamčeni prihranek</t>
  </si>
  <si>
    <t>Obračunski prihranki dosegajo zajamčene prihranke</t>
  </si>
  <si>
    <t>Cena dovedene energije</t>
  </si>
  <si>
    <t>OB002</t>
  </si>
  <si>
    <t>OB003</t>
  </si>
  <si>
    <t>OB004</t>
  </si>
  <si>
    <t>Osnovna poraba dovedene energije</t>
  </si>
  <si>
    <t>Prilagoditev porabe dovedene energije</t>
  </si>
  <si>
    <t>Izhodiščna poraba dovedene energije</t>
  </si>
  <si>
    <t>Izhodiščna poraba dovedene energije - ogrevanje</t>
  </si>
  <si>
    <t>Izhodiščna poraba dovedene energije - mehansko prezračevanje</t>
  </si>
  <si>
    <t>Strošek - izhodiščna poraba</t>
  </si>
  <si>
    <t>Osnovna poraba električne energije</t>
  </si>
  <si>
    <t>Prilagoditev porabe električne energije</t>
  </si>
  <si>
    <t>Izhodiščna poraba električne energije</t>
  </si>
  <si>
    <t>Izhodiščna poraba električne energije za razsvetljavo</t>
  </si>
  <si>
    <t>Izhodiščna poraba električne energije za ostalo</t>
  </si>
  <si>
    <t>Izhodiščna poraba električne energije za hlajenje</t>
  </si>
  <si>
    <t>Izhodiščni stroški</t>
  </si>
  <si>
    <t>Izhodiščna poraba dovedene energije - topla sanitarna voda</t>
  </si>
  <si>
    <t>Osnovna poraba koristne energije</t>
  </si>
  <si>
    <t>Prilagoditev porabe koristne energije</t>
  </si>
  <si>
    <t>Izhodiščna poraba koristne energije</t>
  </si>
  <si>
    <t>Izhodiščna poraba koristne energije - ogrevanje</t>
  </si>
  <si>
    <t>Izhodiščna poraba koristne energije - topla sanitarna voda</t>
  </si>
  <si>
    <t>Izhodiščna poraba koristne energije - mehansko prezračevanje</t>
  </si>
  <si>
    <t>Cena koristne energije</t>
  </si>
  <si>
    <t>Cena električne energije</t>
  </si>
  <si>
    <t>Razdelitev novopričakovane rabe dovedene energije po porabnikih</t>
  </si>
  <si>
    <t>Mehansko prezračevanje</t>
  </si>
  <si>
    <t>Skupaj</t>
  </si>
  <si>
    <t>Normirana raba koristne energije, kWh</t>
  </si>
  <si>
    <t>Normirana raba dovedene energije, kWh</t>
  </si>
  <si>
    <t>Novo stanje</t>
  </si>
  <si>
    <t>Hlajenje</t>
  </si>
  <si>
    <t>Normirana raba električne energije, kWh</t>
  </si>
  <si>
    <t>Izhodiščno stanje</t>
  </si>
  <si>
    <t>I. Izhodiščni podatki</t>
  </si>
  <si>
    <t>II. Novopričakovana letna raba in prihranki</t>
  </si>
  <si>
    <t>III. Normirani prihranki</t>
  </si>
  <si>
    <t>Dovedena energija - Energent 1</t>
  </si>
  <si>
    <t>Dovedena energija - Energent 2</t>
  </si>
  <si>
    <t>Dovedena energija - Energent 3</t>
  </si>
  <si>
    <t>Cena dovedene energije - energent 1</t>
  </si>
  <si>
    <t>Cena dovedene energije - energent 2</t>
  </si>
  <si>
    <t>Cena dovedene energije - energent 3</t>
  </si>
  <si>
    <t>Zajamčeni prihranek dovedene energije - energent 1</t>
  </si>
  <si>
    <t>Zajamčeni prihranek dovedene energije - energent 2</t>
  </si>
  <si>
    <t>Zajamčeni prihranek dovedene energije - energent 3</t>
  </si>
  <si>
    <t>Novopričakovani strošek dovedene energije</t>
  </si>
  <si>
    <t>Novopričakovana raba električne energije</t>
  </si>
  <si>
    <t>Zajamčeni prihranek dovedene energije - skupaj</t>
  </si>
  <si>
    <t>Dovedena energija - Skupaj</t>
  </si>
  <si>
    <t>Normiran prihranek koristne energije, kWh</t>
  </si>
  <si>
    <t>Normiran prihranek dovedene energije, kWh</t>
  </si>
  <si>
    <t>Zajamčeni prihranek koristne energije - skupaj</t>
  </si>
  <si>
    <t>Koristna energija - Skupaj</t>
  </si>
  <si>
    <t>Prihranek koristne energije - skupaj</t>
  </si>
  <si>
    <t>°C dni</t>
  </si>
  <si>
    <t>Letni temperaturni primanjkljaj pri pragu 12°C - vnos iz metapodatkov (Tprim12)</t>
  </si>
  <si>
    <t>Izhodiščna raba dovedene energije</t>
  </si>
  <si>
    <t>Izhodiščna cena koristne en.</t>
  </si>
  <si>
    <t>Lj.-Bežigrad, 192</t>
  </si>
  <si>
    <t>Razmerje DTP primerljivo/ pogodbeno obdobje</t>
  </si>
  <si>
    <t>nova cena koristne energije</t>
  </si>
  <si>
    <t>novopričakovana dejanska raba koristne energije</t>
  </si>
  <si>
    <t>Dovedena energija, kWh</t>
  </si>
  <si>
    <t>Proizvodnja toplote</t>
  </si>
  <si>
    <t>Nova raba dovedene energije</t>
  </si>
  <si>
    <t>strošek dovedene energije</t>
  </si>
  <si>
    <t>Izhodiščna raba elektrike (prilagojena)</t>
  </si>
  <si>
    <t>Izhodiščna cena elektrike</t>
  </si>
  <si>
    <t>Ali so zajamčeni prihranki?</t>
  </si>
  <si>
    <t>novopričakovana raba elektrike</t>
  </si>
  <si>
    <t>merjeni prihranek elektrike</t>
  </si>
  <si>
    <t>normirani prihranek elektrike</t>
  </si>
  <si>
    <t>merjeni prihranek</t>
  </si>
  <si>
    <t>normirani prihranek</t>
  </si>
  <si>
    <t xml:space="preserve"> merjeni prihranek elektrike</t>
  </si>
  <si>
    <t xml:space="preserve"> normirani prihranek elektrike</t>
  </si>
  <si>
    <t xml:space="preserve"> merjeni prihranek</t>
  </si>
  <si>
    <t xml:space="preserve"> normirani prihranek</t>
  </si>
  <si>
    <t>ObračunOB001</t>
  </si>
  <si>
    <t>faktor udobja uporabnikov</t>
  </si>
  <si>
    <t>faktor zasedenosti</t>
  </si>
  <si>
    <t>Faktor preseganja udobja</t>
  </si>
  <si>
    <t>°C</t>
  </si>
  <si>
    <t>JAN</t>
  </si>
  <si>
    <t>FEB</t>
  </si>
  <si>
    <t>MAR</t>
  </si>
  <si>
    <t>APR</t>
  </si>
  <si>
    <t>MAJ</t>
  </si>
  <si>
    <t>JUN</t>
  </si>
  <si>
    <t>Datum</t>
  </si>
  <si>
    <t>PT (°C)</t>
  </si>
  <si>
    <t>TP_20</t>
  </si>
  <si>
    <t>TP_22</t>
  </si>
  <si>
    <t>TP_POV</t>
  </si>
  <si>
    <t>mesečno</t>
  </si>
  <si>
    <t>JUL</t>
  </si>
  <si>
    <t>AVG</t>
  </si>
  <si>
    <t>SEP</t>
  </si>
  <si>
    <t>OKT</t>
  </si>
  <si>
    <t>NOV</t>
  </si>
  <si>
    <t>DEC</t>
  </si>
  <si>
    <t>Kdan</t>
  </si>
  <si>
    <t>Povprečna temperatura</t>
  </si>
  <si>
    <t>Faktor</t>
  </si>
  <si>
    <t xml:space="preserve">za objekt </t>
  </si>
  <si>
    <t>Po Standardu udobja</t>
  </si>
  <si>
    <t xml:space="preserve">PRIMER IZRAČUNA! </t>
  </si>
  <si>
    <t>Pogodbena temperatura zgornja</t>
  </si>
  <si>
    <t>Izhodiščna poraba dovedene energije - posebni prostori</t>
  </si>
  <si>
    <t>Ogrevana kvadratura posebni prostori</t>
  </si>
  <si>
    <t>Ogrevana kvadratura skupaj</t>
  </si>
  <si>
    <t>Izhodiščna poraba koristne energije - posebni prostori</t>
  </si>
  <si>
    <t>Posebni prostori</t>
  </si>
  <si>
    <t>Ogrevanje posebni prostori</t>
  </si>
  <si>
    <t>MEHANSKO PREZRAČEVANJE</t>
  </si>
  <si>
    <t>Izhodiščni strošek dovedene energije</t>
  </si>
  <si>
    <t>Izhodiščna cena dovedene energije</t>
  </si>
  <si>
    <t>Korekcijski faktor *
za obračunsko  obdobje</t>
  </si>
  <si>
    <t>dejanski merjeni prihranek stroškov</t>
  </si>
  <si>
    <t>dejanski normirani prihranek stroškov</t>
  </si>
  <si>
    <t>Koristna energija</t>
  </si>
  <si>
    <t>Izhodiščni DTP - ARSO - Lj.-Bežigrad</t>
  </si>
  <si>
    <t>DTP - LJ-BEŽIGRAD</t>
  </si>
  <si>
    <t>Izmerjena porabljena dovedena energija (kWh)</t>
  </si>
  <si>
    <t>Izmerjena proizvedena koristna energija (toplota) (kWh)</t>
  </si>
  <si>
    <t>Dejanski izkoristek pretvorbe dovedene energije v koristno (%)</t>
  </si>
  <si>
    <t>Dejanski delež proizvodnje koristne energije (%)</t>
  </si>
  <si>
    <t>Skupaj dovedena energija - energenti</t>
  </si>
  <si>
    <t>Izmerjena dejanska poraba koristne energije - toplote (kWh)</t>
  </si>
  <si>
    <t>Zajamčena nova raba dovedene energije</t>
  </si>
  <si>
    <t>dejanski merjeni prihranek koristne energije</t>
  </si>
  <si>
    <t>dejanski normirani prihranek koristne energije</t>
  </si>
  <si>
    <t>skupni prihranek koristne energije</t>
  </si>
  <si>
    <t>nerutinska prilagoditev dovedene energije (El. energija)</t>
  </si>
  <si>
    <t>nerutinska prilagoditev dovedene energije (Daljinsko ogrevanje)</t>
  </si>
  <si>
    <t>Prilagojena raba koristne energije</t>
  </si>
  <si>
    <t>ObračunOB002</t>
  </si>
  <si>
    <t>Normirana nova raba dovedene energije - EL. ENERGIJE ZA PRETVORBO (kWh)</t>
  </si>
  <si>
    <t>Normirana nova raba dovedene energije - DALJINSKO OGREVANJE (kWh)</t>
  </si>
  <si>
    <t>Faktor DTP</t>
  </si>
  <si>
    <t>Referenčne cene dovedene energije (€/kWh)</t>
  </si>
  <si>
    <t>ZAJAMČENI PRIHRANEK DOVEDENE ENERGIJE</t>
  </si>
  <si>
    <t>Zajamčeni prihranek dovedene energije</t>
  </si>
  <si>
    <t>Razlika med dejanskim in zajamčenim prihrankom dovedene energije</t>
  </si>
  <si>
    <t>POVPR. CENA DOVEDENE ENERGIJE</t>
  </si>
  <si>
    <t>NOVO STANJE</t>
  </si>
  <si>
    <t>KORISTNA ENERGIJA</t>
  </si>
  <si>
    <t>ZAJAMČENI PRIHRANKI DOVEDENE ENERGIJE</t>
  </si>
  <si>
    <t>Ni zajamčenih prihrankov</t>
  </si>
  <si>
    <t>ObračunOB003</t>
  </si>
  <si>
    <t>ObračunOB004</t>
  </si>
  <si>
    <t>Znesek presežnih / manka prihrankov</t>
  </si>
  <si>
    <t>Električna energija - normirani prihranek</t>
  </si>
  <si>
    <t>Skupni zajamčeni  prihranek</t>
  </si>
  <si>
    <t>Razlika med prilagojenim in zajamčenim prihrankom</t>
  </si>
  <si>
    <t>Tabelarični podatki o nagradi za presežne prihranke</t>
  </si>
  <si>
    <t xml:space="preserve">Razlika med prilagojenim in zajamčenim prihrankom </t>
  </si>
  <si>
    <t>Delež nagrade</t>
  </si>
  <si>
    <t>Nagrada</t>
  </si>
  <si>
    <t>Ustrezanje pogoju</t>
  </si>
  <si>
    <t>Za izplačilo</t>
  </si>
  <si>
    <t>stopnja</t>
  </si>
  <si>
    <t>70% - 40%</t>
  </si>
  <si>
    <t>od</t>
  </si>
  <si>
    <t>do</t>
  </si>
  <si>
    <t>DA - 1; NE - 0</t>
  </si>
  <si>
    <t>Presežni prihranki delitev</t>
  </si>
  <si>
    <t>Toplotna moč, kW</t>
  </si>
  <si>
    <t>POŠ Rakitna</t>
  </si>
  <si>
    <t>Vrtec Vnanje Gorice</t>
  </si>
  <si>
    <t>Zdravstveni dom Podpeč</t>
  </si>
  <si>
    <t>Zadružni dom Vnanje Gorice</t>
  </si>
  <si>
    <t>Rakitna 54,  
1352 Preserje</t>
  </si>
  <si>
    <t>Nova pot 9, 
1351 Brezovica pri Ljubljani</t>
  </si>
  <si>
    <t>Jezero 1,  
1352 Preserje</t>
  </si>
  <si>
    <t>Nova pot 5, 
1351 Brezovica pri Ljubljani</t>
  </si>
  <si>
    <t>šola, vrtec</t>
  </si>
  <si>
    <t>vrtec</t>
  </si>
  <si>
    <t>zdravstveni dom</t>
  </si>
  <si>
    <t xml:space="preserve">kulturni dom </t>
  </si>
  <si>
    <t>OBJEKTI OBČINE BREZOVICA</t>
  </si>
  <si>
    <t>Ljubljana, junij 2022</t>
  </si>
  <si>
    <t xml:space="preserve">OGREVANJE 
</t>
  </si>
  <si>
    <t>Energetsko upravljanje objekta</t>
  </si>
  <si>
    <t>Prenova razdelilnika ter pripravo sanitarne vode 1</t>
  </si>
  <si>
    <t>Termostatski ventili</t>
  </si>
  <si>
    <t>Prenova ogrevalnega sistema TČ zrak/voda 
(75% pokrivanje)</t>
  </si>
  <si>
    <t>Prenova razsvetljave</t>
  </si>
  <si>
    <t>Izolacija fasade</t>
  </si>
  <si>
    <t>Menjava stavbnega pohištva</t>
  </si>
  <si>
    <t>Izolacija stropa proti podstrešju</t>
  </si>
  <si>
    <t>Prezračevanje kuhinje</t>
  </si>
  <si>
    <t>Prenova ogrevalnega sistema TČ zrak/voda 
(55% pokrivanje)</t>
  </si>
  <si>
    <t>Prenova ogrevalnega sistema TČ zrak/voda 
(74% pokrivanje)</t>
  </si>
  <si>
    <t>2017-2019</t>
  </si>
  <si>
    <t>Logatec 147</t>
  </si>
  <si>
    <t xml:space="preserve">korekcijski faktor za zasedenost; </t>
  </si>
  <si>
    <t>korekcijski faktor za zasedenost;</t>
  </si>
  <si>
    <t>STANDARD UDOBJA V OBJEKTIH</t>
  </si>
  <si>
    <t>Minimalno ugodje v prostorih v času izvajanja ogrevanja (pozimi):</t>
  </si>
  <si>
    <t>Vrsta stavbe/prostora:</t>
  </si>
  <si>
    <t>Obremenjenost prostora  (oseb/m2)</t>
  </si>
  <si>
    <t>Notranja
temp. zraka
(°C)</t>
  </si>
  <si>
    <t>Toleranca* (°C)</t>
  </si>
  <si>
    <t>Relativna vlažnost zraka 
(%)</t>
  </si>
  <si>
    <r>
      <t>Max. koncentracija CO</t>
    </r>
    <r>
      <rPr>
        <b/>
        <vertAlign val="subscript"/>
        <sz val="11"/>
        <color theme="0"/>
        <rFont val="Times New Roman"/>
        <family val="1"/>
        <charset val="238"/>
      </rPr>
      <t xml:space="preserve">2 </t>
    </r>
    <r>
      <rPr>
        <b/>
        <sz val="11"/>
        <color theme="0"/>
        <rFont val="Times New Roman"/>
        <family val="1"/>
        <charset val="238"/>
      </rPr>
      <t xml:space="preserve"> 
(ppm)</t>
    </r>
  </si>
  <si>
    <r>
      <t>Količina svežega zraka v primeru mehanskega prezračevanja (m</t>
    </r>
    <r>
      <rPr>
        <b/>
        <vertAlign val="superscript"/>
        <sz val="11"/>
        <color theme="0"/>
        <rFont val="Times New Roman"/>
        <family val="1"/>
        <charset val="238"/>
      </rPr>
      <t>3</t>
    </r>
    <r>
      <rPr>
        <b/>
        <sz val="11"/>
        <color theme="0"/>
        <rFont val="Times New Roman"/>
        <family val="1"/>
        <charset val="238"/>
      </rPr>
      <t>/h m</t>
    </r>
    <r>
      <rPr>
        <b/>
        <vertAlign val="superscript"/>
        <sz val="11"/>
        <color theme="0"/>
        <rFont val="Times New Roman"/>
        <family val="1"/>
        <charset val="238"/>
      </rPr>
      <t>2</t>
    </r>
    <r>
      <rPr>
        <b/>
        <sz val="11"/>
        <color theme="0"/>
        <rFont val="Times New Roman"/>
        <family val="1"/>
        <charset val="238"/>
      </rPr>
      <t>)</t>
    </r>
  </si>
  <si>
    <t>Povprečna vzdrževana osvetljenost (lux)
EN 12464-1</t>
  </si>
  <si>
    <t>Opombe</t>
  </si>
  <si>
    <t>Vrtec - Igralnica II. starostno obdobje</t>
  </si>
  <si>
    <t>± 2</t>
  </si>
  <si>
    <t>40 - 60</t>
  </si>
  <si>
    <t>Vrtec - Igralnica I. starostno obdobje</t>
  </si>
  <si>
    <t>* 500 lux v predelu za nego</t>
  </si>
  <si>
    <t>Vrtec - Športna igralnica</t>
  </si>
  <si>
    <t>Vrtec - Umivalnica</t>
  </si>
  <si>
    <t>Osnovna šola - Učilnica</t>
  </si>
  <si>
    <t>* 500 lux šolske table</t>
  </si>
  <si>
    <t>Telovadnica, športna dvorana</t>
  </si>
  <si>
    <t>Garderobe šola, vrtec, šp. Dvorana</t>
  </si>
  <si>
    <t>Kopalnica</t>
  </si>
  <si>
    <t>Sanitarije</t>
  </si>
  <si>
    <t>Pisarne, upravni prostori</t>
  </si>
  <si>
    <t>Avla, avditorij, skupni prostori, hodniki, jedilnica</t>
  </si>
  <si>
    <t>po projektu</t>
  </si>
  <si>
    <t>Servisni prostori</t>
  </si>
  <si>
    <t>Minimalna temperatura sanitarne tople vode:</t>
  </si>
  <si>
    <t>Lokacija meritve</t>
  </si>
  <si>
    <t>Temperatura STV 
(°C)</t>
  </si>
  <si>
    <t>Na iztočnem mestu (pipa)</t>
  </si>
  <si>
    <t>*v vrtcih skladno s pravilnikom</t>
  </si>
  <si>
    <t>Vrednosti so smiselno povzete po pravilniku SIST EN 12831, Pravilnik o prezračevanju stavb (UL RS 42/2002) oziroma na podlagi izkušenj.</t>
  </si>
  <si>
    <t>Pravilnik o pitni vodi in Priporočila IVZ – NIJZ (Nacionalni inštitut za javno zdravje)</t>
  </si>
  <si>
    <t>Pravilnik o normativih in minimalnih tehničnih pogojih za prostor in opremo vrtca (UR RS 73/00, 75/05, 33/08, 126/08, 47/10, 47/13,74/16)</t>
  </si>
  <si>
    <t>Osvetljenost notranjih prostorov - standard SIST EN 12464-1:2011.</t>
  </si>
  <si>
    <t>*OPOMBA: Toleranca v - (navzdol) je dopustna samo v določenih delih dneva (jutranji zagoni, prezračevanje tekom dneva..) in ne sme presegati 15% obratovalnega časa dnevno.</t>
  </si>
  <si>
    <t>Meje odgovornosti koncesionarja za doseganje standardov udobja:</t>
  </si>
  <si>
    <t>Koncesionar je odgovoren za doseganje standardov udobja zgolj v obsegu, ki ga tehnično omogočajo ukrepi, ki jih je v okviru izvajanja koncesije izvedel koncesionar.</t>
  </si>
  <si>
    <t>Koncesionar ni dolžan zagotavljati doseganja predpisanega standarda osvetlitve, če s svojimi ukrepi ne posega v obstoječe sisteme notranje razsvetljave.</t>
  </si>
  <si>
    <r>
      <t>Koncesionar ni dolžan zagotavljati doseganje predpisanega standarda prezračevanja (CO</t>
    </r>
    <r>
      <rPr>
        <vertAlign val="subscript"/>
        <sz val="11"/>
        <color theme="1"/>
        <rFont val="Times New Roman"/>
        <family val="1"/>
        <charset val="238"/>
      </rPr>
      <t>2</t>
    </r>
    <r>
      <rPr>
        <sz val="11"/>
        <color theme="1"/>
        <rFont val="Times New Roman"/>
        <family val="1"/>
        <charset val="238"/>
      </rPr>
      <t>, izmenjeva svežega zraka), če objekti nimajo vgrajenih sistemov prisilnih prezračevanj oz. le-ti niso predmet ukrepov energetske sanacije objektov koncedenta.</t>
    </r>
  </si>
  <si>
    <t>Koncesionar ni odgovoren za nedoseganje predpisanih standardov udobja, v kolikor so odstopanja posledica nevestnega ravnanja uporabnikov objekta. Koncesionar je dolžan predhodno podati opozorilo uporabnikom objekta.</t>
  </si>
  <si>
    <t>Koncesionar ni odgovoren za nedoseganje predpisanih standardov udobja, v kolikor so odstopanja posledica  nezanesljive, nekvalitetne in nepravočasne dobave primarnih energentov s strani koncedenta oz. uporabnikov (npr. dobava biomase, ki ne dosega predpisanih standardov kvalitete določene s projekti Obratovanja in vzdrževanja).</t>
  </si>
  <si>
    <t>Koncesionar ni odgovoren za nedoseganje predpisanih standardov udobja, v kolikor so odstopanja posledica neizvajanja nujno potrebnih vzdrževalnih del na instalacijah, ki niso predmet vzdrževanja koncesionarja in jih je skladno z določenimi mejami projekta tudi nadalje dolžan izvajati koncedent (npr. menjava okvarjenih grelnih teles, radiatorjev, zamenjava dotrajane interne instalacije).</t>
  </si>
  <si>
    <t>Koncesionar ni odgovoren za nedoseganje predpisanih standardov udobja, v kolikor so odstopanja posledica prekinitev ali motene dobave s strani pooblaščenih operaterjev distribucijskih omrežij (električna energija, zemeljski plin, daljinsko ogrevanje).</t>
  </si>
  <si>
    <t>Dokazno breme obstoja ekskulpacijskih razlogov za zgoraj navedene meje odgovornosti koncesionarja je na strani koncesionarja.</t>
  </si>
  <si>
    <t>STANDARD UDOBJA - OSVETLJENOST PROSTOROV</t>
  </si>
  <si>
    <t>*Opomba: Povzetek standarda SIST EN 12464-1:2011</t>
  </si>
  <si>
    <t>Vrsta prostora, namena ali aktivnosti</t>
  </si>
  <si>
    <r>
      <rPr>
        <b/>
        <i/>
        <sz val="11"/>
        <color theme="0"/>
        <rFont val="Times New Roman"/>
        <family val="1"/>
        <charset val="238"/>
      </rPr>
      <t>Em</t>
    </r>
    <r>
      <rPr>
        <b/>
        <sz val="11"/>
        <color theme="0"/>
        <rFont val="Times New Roman"/>
        <family val="1"/>
        <charset val="238"/>
      </rPr>
      <t xml:space="preserve">
lx</t>
    </r>
  </si>
  <si>
    <r>
      <rPr>
        <b/>
        <i/>
        <sz val="11"/>
        <color theme="0"/>
        <rFont val="Times New Roman"/>
        <family val="1"/>
        <charset val="238"/>
      </rPr>
      <t>UGR</t>
    </r>
    <r>
      <rPr>
        <b/>
        <i/>
        <vertAlign val="subscript"/>
        <sz val="11"/>
        <color theme="0"/>
        <rFont val="Times New Roman"/>
        <family val="1"/>
        <charset val="238"/>
      </rPr>
      <t>L</t>
    </r>
    <r>
      <rPr>
        <b/>
        <sz val="11"/>
        <color theme="0"/>
        <rFont val="Times New Roman"/>
        <family val="1"/>
        <charset val="238"/>
      </rPr>
      <t xml:space="preserve">
-</t>
    </r>
  </si>
  <si>
    <r>
      <rPr>
        <b/>
        <i/>
        <sz val="11"/>
        <color theme="0"/>
        <rFont val="Times New Roman"/>
        <family val="1"/>
        <charset val="238"/>
      </rPr>
      <t>U</t>
    </r>
    <r>
      <rPr>
        <b/>
        <i/>
        <vertAlign val="subscript"/>
        <sz val="11"/>
        <color theme="0"/>
        <rFont val="Times New Roman"/>
        <family val="1"/>
        <charset val="238"/>
      </rPr>
      <t>0</t>
    </r>
    <r>
      <rPr>
        <b/>
        <sz val="11"/>
        <color theme="0"/>
        <rFont val="Times New Roman"/>
        <family val="1"/>
        <charset val="238"/>
      </rPr>
      <t xml:space="preserve">
-</t>
    </r>
  </si>
  <si>
    <r>
      <rPr>
        <b/>
        <i/>
        <sz val="11"/>
        <color theme="0"/>
        <rFont val="Times New Roman"/>
        <family val="1"/>
        <charset val="238"/>
      </rPr>
      <t>R</t>
    </r>
    <r>
      <rPr>
        <b/>
        <i/>
        <vertAlign val="subscript"/>
        <sz val="11"/>
        <color theme="0"/>
        <rFont val="Times New Roman"/>
        <family val="1"/>
        <charset val="238"/>
      </rPr>
      <t>e</t>
    </r>
    <r>
      <rPr>
        <b/>
        <sz val="11"/>
        <color theme="0"/>
        <rFont val="Times New Roman"/>
        <family val="1"/>
        <charset val="238"/>
      </rPr>
      <t xml:space="preserve">
-</t>
    </r>
  </si>
  <si>
    <t>ŠOLSKI OBJEKTI</t>
  </si>
  <si>
    <t>Učilnice, predavalnice</t>
  </si>
  <si>
    <t>Laboratoriji, delavnice</t>
  </si>
  <si>
    <t>Večje predavalnice, dvorane</t>
  </si>
  <si>
    <t>Šolske table (črne, zelene, bele)</t>
  </si>
  <si>
    <t>Vhodi, vetrolovi, avle</t>
  </si>
  <si>
    <t>Hodniki</t>
  </si>
  <si>
    <t>Prostori za učitelje, zbornice</t>
  </si>
  <si>
    <t>Knjižnice - knjižne police</t>
  </si>
  <si>
    <t>Knjižnice - čitalnice</t>
  </si>
  <si>
    <t>Skladiščni prostori za šolske pripomočke</t>
  </si>
  <si>
    <t>Šolske športne dvorane, bazeni</t>
  </si>
  <si>
    <t>Jedilnice</t>
  </si>
  <si>
    <t>Kuhinje</t>
  </si>
  <si>
    <t>VRTCI</t>
  </si>
  <si>
    <t>Igralnice</t>
  </si>
  <si>
    <t>Jasli</t>
  </si>
  <si>
    <t>Previjalnice</t>
  </si>
  <si>
    <t>Standard udobja</t>
  </si>
  <si>
    <t>Ambulanta</t>
  </si>
  <si>
    <t>Čakalnica</t>
  </si>
  <si>
    <t>I.</t>
  </si>
  <si>
    <t xml:space="preserve"> UKREPI ZAHTEVANI S STRANI KONCEDENTA ZA ZAGOTAVLJANJE PRIHRANKA</t>
  </si>
  <si>
    <t>Splošne zahteve:</t>
  </si>
  <si>
    <t>1. Vsi pripravljalni ukrepi morajo biti izvedeni skladno z veljavnimi predpisi in standardi.</t>
  </si>
  <si>
    <t>2. Koncesionar mora ukrepe v pogodbeni dobi  izvajati in vzdrževati skladno z veljavnimi predpisi in standardi.</t>
  </si>
  <si>
    <t>3. S svojimi ukrepi koncesionar ne sme znižati standarda (temperature v prostorih, prezračevanje), ki je predpisan v standardu SIST EN 12831 in Smernicami VDI 2067. Če ti pogoji pred ukrepi niso bili doseženi, je potrebno to upoštevati pri referenčnih količinah.</t>
  </si>
  <si>
    <t>4. S svojimi ukrepi koncesionar ne sme znižati standarda (osvetlitve), ki je predpisan v standardu SIST EN 12464-1:2011 Če ti pogoji pred izvedbo ukrepov niso bili doseženi, je potrebno to upoštevati pri referenčnih količinah.</t>
  </si>
  <si>
    <t>5. Ker standard v prostorih ni natančno popisan, mora koncesionar po podpisu pogodbe v prvi ogrevalni sezoni v prostorih popisati standarde (temperature, prezračevanja, osvetlitve).</t>
  </si>
  <si>
    <t>6. Koncesionar po podpisu pogodbe do začetka izvajanja glavne storitve zbrati in preveriti podatke iz razširjenih energetskih pregledov, ki so potrebni za ugotavljanje morebitnih sprememb uporabe objektov (število uporabnikov, urniki, porabniki energije).</t>
  </si>
  <si>
    <t>7. Kjer so referenčne vrednosti rabe energije podane v energiji porabljenega goriva  in še ni uvedenih meritev, mora koncesionar do dogovorjenega roka po pogodbi (pripravljalna storitev) vgraditi merilne naprave.</t>
  </si>
  <si>
    <t>8. Koncesionar mora do začetka izvajanja glavne storitve vzpostaviti sistem energetskega upravljanja za vse objekte iz seznama stavb naročnika po zahtevah določenih v zavihku Energetsko upravljanje.</t>
  </si>
  <si>
    <t>9. Po dokončanju pripravljalne storitve mora koncesionar koncedentu predati naslednjo dokumentacijo:</t>
  </si>
  <si>
    <t>-   Poročila o morebitnih meritvah</t>
  </si>
  <si>
    <t>-   Projekte izvedenih del in projekte za obratovanje in vzdrževanje.</t>
  </si>
  <si>
    <t>10. Koncesionar mora zagotoviti izobraževanje koncedenta, upravljavca in uporabnikov.</t>
  </si>
  <si>
    <t>11. Izvedbo vsakega ukrepa v objektu mora koncesionar terminsko uskladiti z upravljavcem objekta.</t>
  </si>
  <si>
    <t>12. Koncedent ima pravico kadarkoli izvajati nadzor nad pripravljalnimi deli koncesionarja.</t>
  </si>
  <si>
    <t>II. PREDVIDENI UKREPI PO POSAMEZNIH OBJEKTIH</t>
  </si>
  <si>
    <t>Ukrepi so razvidni iz tehničnega opisa ukrepov.</t>
  </si>
  <si>
    <t>Ukrepi splošno</t>
  </si>
  <si>
    <t>Ukrepi(po objektih)</t>
  </si>
  <si>
    <t>OB001-OB004</t>
  </si>
  <si>
    <t>ObračunOB001-OB004</t>
  </si>
  <si>
    <t>Izhodiščni DTP - ARSO - Logatec</t>
  </si>
  <si>
    <t>Povprečje 2017-2019</t>
  </si>
  <si>
    <t>ZD Podpeč</t>
  </si>
  <si>
    <t>Prilagoditev porabe  EE (kWh)</t>
  </si>
  <si>
    <t>Izhodiščna poraba EE (kWh)</t>
  </si>
  <si>
    <t>Izhodiščne obrat. Ure (h)</t>
  </si>
  <si>
    <t>Izhodiščna moč (kW)</t>
  </si>
  <si>
    <t>Obstoječa Poraba  EE (kWh)</t>
  </si>
  <si>
    <t>Povprečne obr. ure (h)</t>
  </si>
  <si>
    <t>Moč obstoječe razsvetljave (kW)</t>
  </si>
  <si>
    <t>RAZSVETLJAVA</t>
  </si>
  <si>
    <t>Prilagoditev porabe toplote (kWh)</t>
  </si>
  <si>
    <t>Izhodiščna poraba toplote (kWh)</t>
  </si>
  <si>
    <t>Izhodiščna topl. Moč (kW)</t>
  </si>
  <si>
    <t>Obstoječa poraba toplote (kWh)</t>
  </si>
  <si>
    <t>Povprečne  obrat.  ure (h)</t>
  </si>
  <si>
    <t>Obstoječa povpr. topl. moč (kW)</t>
  </si>
  <si>
    <t>PREZRAČEVANJE</t>
  </si>
  <si>
    <t>Prilagoditev porabe dovedene energije (kWh)</t>
  </si>
  <si>
    <t>Izkoristek ogrevalnega sistema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</si>
</sst>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7" formatCode="#,##0.00\ &quot;€&quot;;\-#,##0.00\ &quot;€&quot;"/>
    <numFmt numFmtId="44" formatCode="_-* #,##0.00\ &quot;€&quot;_-;\-* #,##0.00\ &quot;€&quot;_-;_-* &quot;-&quot;??\ &quot;€&quot;_-;_-@_-"/>
    <numFmt numFmtId="43" formatCode="_-* #,##0.00_-;\-* #,##0.00_-;_-* &quot;-&quot;??_-;_-@_-"/>
    <numFmt numFmtId="164" formatCode="_-* #,##0.00\ _€_-;\-* #,##0.00\ _€_-;_-* &quot;-&quot;??\ _€_-;_-@_-"/>
    <numFmt numFmtId="165" formatCode="#,##0.00\ &quot;€/MWh&quot;"/>
    <numFmt numFmtId="166" formatCode="#,##0.0"/>
    <numFmt numFmtId="167" formatCode="#,##0.00\ &quot;€/m3&quot;"/>
    <numFmt numFmtId="168" formatCode="#,##0.0000"/>
    <numFmt numFmtId="169" formatCode="#,##0;#;&quot;-&quot;"/>
    <numFmt numFmtId="170" formatCode="_-* #,##0.0000\ _€_-;\-* #,##0.0000\ _€_-;_-* &quot;-&quot;??\ _€_-;_-@_-"/>
    <numFmt numFmtId="171" formatCode="_-* #,##0.00\ [$€-1]_-;\-* #,##0.00\ [$€-1]_-;_-* &quot;-&quot;??\ [$€-1]_-;_-@_-"/>
    <numFmt numFmtId="172" formatCode="_-* #,##0\ _€_-;\-* #,##0\ _€_-;_-* &quot;-&quot;??\ _€_-;_-@_-"/>
    <numFmt numFmtId="173" formatCode="_-* #,##0.00000\ _€_-;\-* #,##0.00000\ _€_-;_-* &quot;-&quot;??\ _€_-;_-@_-"/>
    <numFmt numFmtId="174" formatCode="#,##0\ &quot;kWh&quot;"/>
    <numFmt numFmtId="175" formatCode="_-* #,##0.00000\ _€_-;\-* #,##0.00000\ _€_-;_-* &quot;-&quot;?????\ _€_-;_-@_-"/>
    <numFmt numFmtId="176" formatCode="0.00000"/>
    <numFmt numFmtId="177" formatCode="_-* #,##0.0\ _€_-;\-* #,##0.0\ _€_-;_-* &quot;-&quot;?????\ _€_-;_-@_-"/>
    <numFmt numFmtId="178" formatCode="#,##0.00000;#.00000;&quot;-&quot;"/>
    <numFmt numFmtId="179" formatCode="#,##0.0;#.0;&quot;-&quot;"/>
    <numFmt numFmtId="180" formatCode="#,##0.00\ &quot;€&quot;"/>
    <numFmt numFmtId="181" formatCode="_-* #,##0.000000\ _€_-;\-* #,##0.000000\ _€_-;_-* &quot;-&quot;??\ _€_-;_-@_-"/>
    <numFmt numFmtId="182" formatCode="_-* #,##0_-;\-* #,##0_-;_-* &quot;-&quot;??_-;_-@_-"/>
    <numFmt numFmtId="183" formatCode="_-* #,##0.000_-;\-* #,##0.000_-;_-* &quot;-&quot;??_-;_-@_-"/>
    <numFmt numFmtId="184" formatCode="_-* #,##0.00000_-;\-* #,##0.00000_-;_-* &quot;-&quot;??_-;_-@_-"/>
    <numFmt numFmtId="185" formatCode="#,##0.000000000000"/>
    <numFmt numFmtId="186" formatCode="_-* #,##0.0_-;\-* #,##0.0_-;_-* &quot;-&quot;??_-;_-@_-"/>
    <numFmt numFmtId="187" formatCode="_-* #,##0.0000_-;\-* #,##0.0000_-;_-* &quot;-&quot;??_-;_-@_-"/>
    <numFmt numFmtId="188" formatCode="#,##0_ ;\-#,##0\ "/>
    <numFmt numFmtId="189" formatCode="0.0\ &quot;K dan&quot;"/>
    <numFmt numFmtId="190" formatCode="0.0"/>
    <numFmt numFmtId="191" formatCode="0.0%"/>
    <numFmt numFmtId="192" formatCode="_-* #,##0\ _€_-;\-* #,##0\ _€_-;_-* &quot;-&quot;?????\ _€_-;_-@_-"/>
    <numFmt numFmtId="193" formatCode="_-* #,##0.000000_-;\-* #,##0.000000_-;_-* &quot;-&quot;??_-;_-@_-"/>
    <numFmt numFmtId="194" formatCode="0.000%"/>
    <numFmt numFmtId="195" formatCode="_-* #,##0.0\ _€_-;\-* #,##0.0\ _€_-;_-* &quot;-&quot;??\ _€_-;_-@_-"/>
  </numFmts>
  <fonts count="97"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sz val="11"/>
      <color theme="1"/>
      <name val="Calibri"/>
      <family val="2"/>
      <scheme val="minor"/>
    </font>
    <font>
      <b/>
      <sz val="11"/>
      <color theme="1"/>
      <name val="Calibri"/>
      <family val="2"/>
      <charset val="238"/>
      <scheme val="minor"/>
    </font>
    <font>
      <sz val="11"/>
      <color theme="1"/>
      <name val="Arial"/>
      <family val="2"/>
      <charset val="238"/>
    </font>
    <font>
      <sz val="10"/>
      <color theme="1"/>
      <name val="Arial"/>
      <family val="2"/>
      <charset val="238"/>
    </font>
    <font>
      <b/>
      <sz val="18"/>
      <color theme="1"/>
      <name val="Arial"/>
      <family val="2"/>
      <charset val="238"/>
    </font>
    <font>
      <b/>
      <sz val="24"/>
      <color theme="1"/>
      <name val="Arial"/>
      <family val="2"/>
      <charset val="238"/>
    </font>
    <font>
      <b/>
      <sz val="10"/>
      <color theme="1"/>
      <name val="Arial"/>
      <family val="2"/>
      <charset val="238"/>
    </font>
    <font>
      <b/>
      <sz val="12"/>
      <color theme="1"/>
      <name val="Arial"/>
      <family val="2"/>
      <charset val="238"/>
    </font>
    <font>
      <b/>
      <sz val="16"/>
      <color theme="1"/>
      <name val="Arial"/>
      <family val="2"/>
      <charset val="238"/>
    </font>
    <font>
      <b/>
      <sz val="10"/>
      <color theme="0"/>
      <name val="Arial"/>
      <family val="2"/>
      <charset val="238"/>
    </font>
    <font>
      <sz val="8"/>
      <name val="Calibri"/>
      <family val="2"/>
      <scheme val="minor"/>
    </font>
    <font>
      <sz val="10"/>
      <color theme="0"/>
      <name val="Arial"/>
      <family val="2"/>
      <charset val="238"/>
    </font>
    <font>
      <sz val="10"/>
      <name val="Arial"/>
      <family val="2"/>
      <charset val="238"/>
    </font>
    <font>
      <sz val="10"/>
      <name val="Times New Roman"/>
      <family val="1"/>
      <charset val="238"/>
    </font>
    <font>
      <sz val="11"/>
      <color indexed="8"/>
      <name val="Calibri"/>
      <family val="2"/>
      <charset val="238"/>
    </font>
    <font>
      <i/>
      <sz val="10"/>
      <color theme="1"/>
      <name val="Arial"/>
      <family val="2"/>
      <charset val="238"/>
    </font>
    <font>
      <vertAlign val="superscript"/>
      <sz val="10"/>
      <color theme="0"/>
      <name val="Arial"/>
      <family val="2"/>
      <charset val="238"/>
    </font>
    <font>
      <b/>
      <sz val="10"/>
      <color indexed="8"/>
      <name val="Arial"/>
      <family val="2"/>
      <charset val="238"/>
    </font>
    <font>
      <b/>
      <sz val="10"/>
      <name val="Arial"/>
      <family val="2"/>
      <charset val="238"/>
    </font>
    <font>
      <sz val="10"/>
      <color indexed="8"/>
      <name val="Arial"/>
      <family val="2"/>
      <charset val="238"/>
    </font>
    <font>
      <b/>
      <i/>
      <sz val="10"/>
      <color theme="1"/>
      <name val="Arial"/>
      <family val="2"/>
      <charset val="238"/>
    </font>
    <font>
      <b/>
      <sz val="10"/>
      <color rgb="FFFF0000"/>
      <name val="Arial"/>
      <family val="2"/>
      <charset val="238"/>
    </font>
    <font>
      <u/>
      <sz val="11"/>
      <color theme="10"/>
      <name val="Calibri"/>
      <family val="2"/>
      <scheme val="minor"/>
    </font>
    <font>
      <i/>
      <sz val="10"/>
      <color indexed="8"/>
      <name val="Arial"/>
      <family val="2"/>
      <charset val="238"/>
    </font>
    <font>
      <sz val="14"/>
      <color theme="1"/>
      <name val="Arial"/>
      <family val="2"/>
      <charset val="238"/>
    </font>
    <font>
      <b/>
      <sz val="10"/>
      <color rgb="FF00B050"/>
      <name val="Arial"/>
      <family val="2"/>
      <charset val="238"/>
    </font>
    <font>
      <b/>
      <sz val="36"/>
      <name val="Bahnschrift"/>
      <family val="2"/>
      <charset val="238"/>
    </font>
    <font>
      <sz val="10"/>
      <name val="Bahnschrift"/>
      <family val="2"/>
      <charset val="238"/>
    </font>
    <font>
      <b/>
      <sz val="12"/>
      <name val="Bahnschrift"/>
      <family val="2"/>
      <charset val="238"/>
    </font>
    <font>
      <sz val="12"/>
      <name val="Bahnschrift"/>
      <family val="2"/>
      <charset val="238"/>
    </font>
    <font>
      <b/>
      <sz val="16"/>
      <name val="Bahnschrift"/>
      <family val="2"/>
      <charset val="238"/>
    </font>
    <font>
      <b/>
      <sz val="14"/>
      <color theme="1"/>
      <name val="Bahnschrift"/>
      <family val="2"/>
      <charset val="238"/>
    </font>
    <font>
      <sz val="18"/>
      <name val="Bahnschrift"/>
      <family val="2"/>
      <charset val="238"/>
    </font>
    <font>
      <b/>
      <sz val="24"/>
      <name val="Bahnschrift"/>
      <family val="2"/>
      <charset val="238"/>
    </font>
    <font>
      <b/>
      <sz val="24"/>
      <color theme="1"/>
      <name val="Bahnschrift"/>
      <family val="2"/>
      <charset val="238"/>
    </font>
    <font>
      <sz val="12"/>
      <color theme="1"/>
      <name val="Bahnschrift"/>
      <family val="2"/>
      <charset val="238"/>
    </font>
    <font>
      <b/>
      <sz val="14"/>
      <name val="Bahnschrift"/>
      <family val="2"/>
      <charset val="238"/>
    </font>
    <font>
      <b/>
      <sz val="10"/>
      <name val="Bahnschrift"/>
      <family val="2"/>
      <charset val="238"/>
    </font>
    <font>
      <b/>
      <sz val="10"/>
      <color rgb="FFFF0000"/>
      <name val="Bahnschrift"/>
      <family val="2"/>
      <charset val="238"/>
    </font>
    <font>
      <sz val="12"/>
      <color rgb="FFFF0000"/>
      <name val="Bahnschrift"/>
      <family val="2"/>
      <charset val="238"/>
    </font>
    <font>
      <sz val="11"/>
      <name val="Bahnschrift"/>
      <family val="2"/>
      <charset val="238"/>
    </font>
    <font>
      <b/>
      <sz val="8"/>
      <name val="Bahnschrift"/>
      <family val="2"/>
      <charset val="238"/>
    </font>
    <font>
      <sz val="11"/>
      <color rgb="FFFF0000"/>
      <name val="Bahnschrift"/>
      <family val="2"/>
      <charset val="238"/>
    </font>
    <font>
      <b/>
      <sz val="11"/>
      <name val="Bahnschrift"/>
      <family val="2"/>
      <charset val="238"/>
    </font>
    <font>
      <sz val="11"/>
      <color theme="1"/>
      <name val="Bahnschrift"/>
      <family val="2"/>
      <charset val="238"/>
    </font>
    <font>
      <b/>
      <sz val="9"/>
      <name val="Bahnschrift"/>
      <family val="2"/>
      <charset val="238"/>
    </font>
    <font>
      <b/>
      <sz val="9"/>
      <color indexed="81"/>
      <name val="Segoe UI"/>
      <family val="2"/>
      <charset val="238"/>
    </font>
    <font>
      <sz val="9"/>
      <color indexed="81"/>
      <name val="Segoe UI"/>
      <family val="2"/>
      <charset val="238"/>
    </font>
    <font>
      <b/>
      <sz val="11"/>
      <color rgb="FFFF0000"/>
      <name val="Calibri"/>
      <family val="2"/>
      <charset val="238"/>
      <scheme val="minor"/>
    </font>
    <font>
      <sz val="11"/>
      <color rgb="FF242424"/>
      <name val="Segoe UI"/>
      <family val="2"/>
      <charset val="238"/>
    </font>
    <font>
      <sz val="10"/>
      <color rgb="FF5B5FC7"/>
      <name val="Segoe UI"/>
      <family val="2"/>
      <charset val="238"/>
    </font>
    <font>
      <b/>
      <i/>
      <sz val="10"/>
      <color rgb="FFFF0000"/>
      <name val="Arial"/>
      <family val="2"/>
      <charset val="238"/>
    </font>
    <font>
      <sz val="10"/>
      <color rgb="FFFF0000"/>
      <name val="Arial"/>
      <family val="2"/>
      <charset val="238"/>
    </font>
    <font>
      <b/>
      <sz val="10"/>
      <name val="Calibri"/>
      <family val="2"/>
      <charset val="238"/>
      <scheme val="minor"/>
    </font>
    <font>
      <sz val="9"/>
      <name val="Arial"/>
      <family val="2"/>
      <charset val="238"/>
    </font>
    <font>
      <sz val="10"/>
      <name val="Calibri"/>
      <family val="2"/>
      <charset val="238"/>
      <scheme val="minor"/>
    </font>
    <font>
      <b/>
      <sz val="9"/>
      <color rgb="FFFF0000"/>
      <name val="Arial"/>
      <family val="2"/>
      <charset val="238"/>
    </font>
    <font>
      <b/>
      <sz val="10"/>
      <color rgb="FFFF0000"/>
      <name val="Calibri"/>
      <family val="2"/>
      <charset val="238"/>
      <scheme val="minor"/>
    </font>
    <font>
      <sz val="9"/>
      <name val="Calibri"/>
      <family val="2"/>
      <charset val="238"/>
      <scheme val="minor"/>
    </font>
    <font>
      <b/>
      <sz val="8"/>
      <color indexed="81"/>
      <name val="Tahoma"/>
      <family val="2"/>
      <charset val="238"/>
    </font>
    <font>
      <sz val="8"/>
      <color indexed="81"/>
      <name val="Tahoma"/>
      <family val="2"/>
      <charset val="238"/>
    </font>
    <font>
      <b/>
      <sz val="12"/>
      <color rgb="FFFF0000"/>
      <name val="Arial"/>
      <family val="2"/>
      <charset val="238"/>
    </font>
    <font>
      <sz val="10"/>
      <color theme="1"/>
      <name val="Bahnschrift"/>
      <family val="2"/>
      <charset val="238"/>
    </font>
    <font>
      <b/>
      <sz val="11"/>
      <color theme="1"/>
      <name val="Bahnschrift"/>
      <family val="2"/>
      <charset val="238"/>
    </font>
    <font>
      <b/>
      <sz val="14"/>
      <color indexed="81"/>
      <name val="Segoe UI"/>
      <family val="2"/>
      <charset val="238"/>
    </font>
    <font>
      <sz val="14"/>
      <color indexed="81"/>
      <name val="Segoe UI"/>
      <family val="2"/>
      <charset val="238"/>
    </font>
    <font>
      <b/>
      <sz val="10"/>
      <color theme="1"/>
      <name val="Bahnschrift"/>
      <family val="2"/>
      <charset val="238"/>
    </font>
    <font>
      <b/>
      <sz val="10"/>
      <name val="Bookman Old Style"/>
      <family val="1"/>
      <charset val="238"/>
    </font>
    <font>
      <sz val="10"/>
      <name val="Bookman Old Style"/>
      <family val="1"/>
      <charset val="238"/>
    </font>
    <font>
      <b/>
      <sz val="18"/>
      <color theme="1"/>
      <name val="Times New Roman"/>
      <family val="1"/>
      <charset val="238"/>
    </font>
    <font>
      <sz val="11"/>
      <color theme="1"/>
      <name val="Times New Roman"/>
      <family val="1"/>
      <charset val="238"/>
    </font>
    <font>
      <b/>
      <sz val="11"/>
      <color theme="0"/>
      <name val="Times New Roman"/>
      <family val="1"/>
      <charset val="238"/>
    </font>
    <font>
      <b/>
      <vertAlign val="subscript"/>
      <sz val="11"/>
      <color theme="0"/>
      <name val="Times New Roman"/>
      <family val="1"/>
      <charset val="238"/>
    </font>
    <font>
      <b/>
      <vertAlign val="superscript"/>
      <sz val="11"/>
      <color theme="0"/>
      <name val="Times New Roman"/>
      <family val="1"/>
      <charset val="238"/>
    </font>
    <font>
      <b/>
      <sz val="11"/>
      <color theme="1"/>
      <name val="Times New Roman"/>
      <family val="1"/>
      <charset val="238"/>
    </font>
    <font>
      <vertAlign val="subscript"/>
      <sz val="11"/>
      <color theme="1"/>
      <name val="Times New Roman"/>
      <family val="1"/>
      <charset val="238"/>
    </font>
    <font>
      <b/>
      <i/>
      <sz val="11"/>
      <color theme="0"/>
      <name val="Times New Roman"/>
      <family val="1"/>
      <charset val="238"/>
    </font>
    <font>
      <b/>
      <i/>
      <vertAlign val="subscript"/>
      <sz val="11"/>
      <color theme="0"/>
      <name val="Times New Roman"/>
      <family val="1"/>
      <charset val="238"/>
    </font>
    <font>
      <sz val="11"/>
      <color indexed="8"/>
      <name val="Calibri"/>
      <family val="2"/>
    </font>
    <font>
      <b/>
      <sz val="14"/>
      <color indexed="8"/>
      <name val="Times New Roman"/>
      <family val="1"/>
      <charset val="238"/>
    </font>
    <font>
      <sz val="11"/>
      <color indexed="8"/>
      <name val="Times New Roman"/>
      <family val="1"/>
      <charset val="238"/>
    </font>
    <font>
      <sz val="10"/>
      <color indexed="8"/>
      <name val="Times New Roman"/>
      <family val="1"/>
      <charset val="238"/>
    </font>
    <font>
      <b/>
      <sz val="11"/>
      <color indexed="8"/>
      <name val="Times New Roman"/>
      <family val="1"/>
      <charset val="238"/>
    </font>
    <font>
      <b/>
      <sz val="10"/>
      <color indexed="8"/>
      <name val="Times New Roman"/>
      <family val="1"/>
      <charset val="238"/>
    </font>
    <font>
      <sz val="10"/>
      <color theme="1"/>
      <name val="Times New Roman"/>
      <family val="1"/>
      <charset val="238"/>
    </font>
    <font>
      <sz val="10"/>
      <color theme="9"/>
      <name val="Times New Roman"/>
      <family val="1"/>
      <charset val="238"/>
    </font>
    <font>
      <i/>
      <u/>
      <sz val="10"/>
      <color indexed="8"/>
      <name val="Times New Roman"/>
      <family val="1"/>
      <charset val="238"/>
    </font>
    <font>
      <b/>
      <sz val="11"/>
      <name val="Calibri"/>
      <family val="2"/>
      <charset val="238"/>
      <scheme val="minor"/>
    </font>
  </fonts>
  <fills count="37">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indexed="22"/>
        <bgColor indexed="64"/>
      </patternFill>
    </fill>
    <fill>
      <patternFill patternType="solid">
        <fgColor theme="0"/>
        <bgColor indexed="64"/>
      </patternFill>
    </fill>
    <fill>
      <patternFill patternType="solid">
        <fgColor theme="9" tint="-0.249977111117893"/>
        <bgColor indexed="64"/>
      </patternFill>
    </fill>
    <fill>
      <patternFill patternType="solid">
        <fgColor theme="3" tint="0.3999755851924192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C000"/>
        <bgColor indexed="64"/>
      </patternFill>
    </fill>
    <fill>
      <patternFill patternType="solid">
        <fgColor theme="7" tint="0.39997558519241921"/>
        <bgColor indexed="64"/>
      </patternFill>
    </fill>
    <fill>
      <patternFill patternType="solid">
        <fgColor theme="4" tint="0.59999389629810485"/>
        <bgColor rgb="FF000000"/>
      </patternFill>
    </fill>
    <fill>
      <patternFill patternType="solid">
        <fgColor theme="7" tint="0.39997558519241921"/>
        <bgColor rgb="FF000000"/>
      </patternFill>
    </fill>
    <fill>
      <patternFill patternType="solid">
        <fgColor theme="0" tint="-0.14999847407452621"/>
        <bgColor rgb="FF000000"/>
      </patternFill>
    </fill>
    <fill>
      <patternFill patternType="solid">
        <fgColor rgb="FFFFFFFF"/>
        <bgColor indexed="64"/>
      </patternFill>
    </fill>
    <fill>
      <patternFill patternType="solid">
        <fgColor rgb="FFD8D8D8"/>
        <bgColor rgb="FF000000"/>
      </patternFill>
    </fill>
    <fill>
      <patternFill patternType="solid">
        <fgColor rgb="FF92D050"/>
        <bgColor indexed="64"/>
      </patternFill>
    </fill>
    <fill>
      <patternFill patternType="solid">
        <fgColor indexed="55"/>
        <bgColor indexed="64"/>
      </patternFill>
    </fill>
    <fill>
      <patternFill patternType="solid">
        <fgColor indexed="26"/>
        <bgColor indexed="64"/>
      </patternFill>
    </fill>
    <fill>
      <patternFill patternType="solid">
        <fgColor rgb="FF00B050"/>
        <bgColor indexed="64"/>
      </patternFill>
    </fill>
    <fill>
      <patternFill patternType="solid">
        <fgColor theme="0" tint="-0.499984740745262"/>
        <bgColor indexed="64"/>
      </patternFill>
    </fill>
    <fill>
      <patternFill patternType="solid">
        <fgColor rgb="FFFFFFCC"/>
        <bgColor indexed="64"/>
      </patternFill>
    </fill>
    <fill>
      <patternFill patternType="solid">
        <fgColor theme="9" tint="0.39997558519241921"/>
        <bgColor indexed="64"/>
      </patternFill>
    </fill>
    <fill>
      <patternFill patternType="solid">
        <fgColor theme="4"/>
        <bgColor theme="4"/>
      </patternFill>
    </fill>
    <fill>
      <patternFill patternType="solid">
        <fgColor theme="4" tint="0.79998168889431442"/>
        <bgColor theme="4" tint="0.79998168889431442"/>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auto="1"/>
      </left>
      <right style="medium">
        <color auto="1"/>
      </right>
      <top style="medium">
        <color auto="1"/>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medium">
        <color auto="1"/>
      </left>
      <right/>
      <top style="thin">
        <color auto="1"/>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auto="1"/>
      </left>
      <right style="medium">
        <color auto="1"/>
      </right>
      <top/>
      <bottom style="thin">
        <color auto="1"/>
      </bottom>
      <diagonal/>
    </border>
    <border>
      <left style="medium">
        <color rgb="FFD1D1D1"/>
      </left>
      <right style="medium">
        <color rgb="FFD1D1D1"/>
      </right>
      <top style="medium">
        <color rgb="FFD1D1D1"/>
      </top>
      <bottom style="medium">
        <color rgb="FFD1D1D1"/>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bottom/>
      <diagonal/>
    </border>
    <border>
      <left style="double">
        <color indexed="64"/>
      </left>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right style="thick">
        <color indexed="64"/>
      </right>
      <top style="medium">
        <color indexed="64"/>
      </top>
      <bottom style="medium">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41">
    <xf numFmtId="0" fontId="0" fillId="0" borderId="0"/>
    <xf numFmtId="9" fontId="9" fillId="0" borderId="0" applyFont="0" applyFill="0" applyBorder="0" applyAlignment="0" applyProtection="0"/>
    <xf numFmtId="0" fontId="17" fillId="0" borderId="0" applyFill="0" applyBorder="0" applyProtection="0">
      <alignment horizontal="left"/>
    </xf>
    <xf numFmtId="0" fontId="21" fillId="0" borderId="0"/>
    <xf numFmtId="44" fontId="8" fillId="0" borderId="1" applyFont="0" applyFill="0" applyBorder="0" applyProtection="0">
      <alignment vertical="center"/>
    </xf>
    <xf numFmtId="9" fontId="8" fillId="0" borderId="0" applyFont="0" applyFill="0" applyBorder="0" applyAlignment="0" applyProtection="0"/>
    <xf numFmtId="44" fontId="8" fillId="0" borderId="0" applyFont="0" applyFill="0" applyBorder="0" applyAlignment="0" applyProtection="0"/>
    <xf numFmtId="9" fontId="23" fillId="0" borderId="0" applyFont="0" applyFill="0" applyBorder="0" applyAlignment="0" applyProtection="0"/>
    <xf numFmtId="3" fontId="12" fillId="0" borderId="1" applyFill="0" applyBorder="0">
      <alignment horizontal="center" vertical="center"/>
    </xf>
    <xf numFmtId="165" fontId="8" fillId="0" borderId="1" applyFont="0" applyFill="0" applyBorder="0" applyProtection="0">
      <alignment horizontal="right" vertical="center"/>
    </xf>
    <xf numFmtId="0" fontId="16" fillId="0" borderId="0" applyFill="0" applyBorder="0" applyProtection="0">
      <alignment horizontal="left" vertical="center"/>
    </xf>
    <xf numFmtId="0" fontId="17" fillId="0" borderId="0" applyFill="0" applyBorder="0" applyProtection="0">
      <alignment horizontal="left" vertical="center"/>
    </xf>
    <xf numFmtId="0" fontId="8" fillId="0" borderId="0"/>
    <xf numFmtId="0" fontId="31" fillId="0" borderId="0" applyNumberFormat="0" applyFill="0" applyBorder="0" applyAlignment="0" applyProtection="0"/>
    <xf numFmtId="167" fontId="8" fillId="0" borderId="1" applyFont="0" applyFill="0" applyBorder="0" applyProtection="0">
      <alignment horizontal="right" vertical="center"/>
    </xf>
    <xf numFmtId="44" fontId="21" fillId="0" borderId="0" applyFont="0" applyFill="0" applyBorder="0" applyAlignment="0" applyProtection="0"/>
    <xf numFmtId="0" fontId="4" fillId="0" borderId="0"/>
    <xf numFmtId="0" fontId="11" fillId="0" borderId="0"/>
    <xf numFmtId="3" fontId="5" fillId="0" borderId="1" applyFill="0" applyBorder="0">
      <alignment horizontal="center" vertical="center"/>
    </xf>
    <xf numFmtId="164" fontId="11" fillId="0" borderId="0" applyFont="0" applyFill="0" applyBorder="0" applyAlignment="0" applyProtection="0"/>
    <xf numFmtId="168" fontId="5" fillId="0" borderId="1" applyFill="0" applyBorder="0">
      <alignment horizontal="center" vertical="center"/>
    </xf>
    <xf numFmtId="44" fontId="9" fillId="0" borderId="0" applyFont="0" applyFill="0" applyBorder="0" applyAlignment="0" applyProtection="0"/>
    <xf numFmtId="44" fontId="4" fillId="0" borderId="0" applyFont="0" applyFill="0" applyBorder="0" applyAlignment="0" applyProtection="0"/>
    <xf numFmtId="164" fontId="9" fillId="0" borderId="0" applyFont="0" applyFill="0" applyBorder="0" applyAlignment="0" applyProtection="0"/>
    <xf numFmtId="44" fontId="11"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44" fontId="9"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43" fontId="9" fillId="0" borderId="0" applyFont="0" applyFill="0" applyBorder="0" applyAlignment="0" applyProtection="0"/>
    <xf numFmtId="0" fontId="21" fillId="0" borderId="0"/>
    <xf numFmtId="44" fontId="9" fillId="0" borderId="0" applyFont="0" applyFill="0" applyBorder="0" applyAlignment="0" applyProtection="0"/>
    <xf numFmtId="44" fontId="1" fillId="0" borderId="1" applyFont="0" applyFill="0" applyBorder="0" applyProtection="0">
      <alignment vertical="center"/>
    </xf>
    <xf numFmtId="0" fontId="1" fillId="0" borderId="0"/>
    <xf numFmtId="0" fontId="87" fillId="0" borderId="0"/>
    <xf numFmtId="164" fontId="1" fillId="0" borderId="0" applyFont="0" applyFill="0" applyBorder="0" applyAlignment="0" applyProtection="0"/>
  </cellStyleXfs>
  <cellXfs count="1388">
    <xf numFmtId="0" fontId="0" fillId="0" borderId="0" xfId="0"/>
    <xf numFmtId="0" fontId="18" fillId="4" borderId="1" xfId="0" applyFont="1" applyFill="1" applyBorder="1" applyAlignment="1">
      <alignment vertical="center"/>
    </xf>
    <xf numFmtId="0" fontId="15" fillId="5" borderId="1" xfId="0" applyFont="1" applyFill="1" applyBorder="1" applyAlignment="1">
      <alignment horizontal="center" vertical="center"/>
    </xf>
    <xf numFmtId="0" fontId="15" fillId="5" borderId="13" xfId="0" applyFont="1" applyFill="1" applyBorder="1" applyAlignment="1">
      <alignment vertical="center"/>
    </xf>
    <xf numFmtId="0" fontId="15" fillId="5" borderId="15" xfId="0" applyFont="1" applyFill="1" applyBorder="1" applyAlignment="1">
      <alignment vertical="center"/>
    </xf>
    <xf numFmtId="0" fontId="20" fillId="4" borderId="1" xfId="0" applyFont="1" applyFill="1" applyBorder="1" applyAlignment="1">
      <alignment horizontal="center" vertical="center"/>
    </xf>
    <xf numFmtId="0" fontId="20" fillId="4" borderId="15" xfId="0" applyFont="1" applyFill="1" applyBorder="1" applyAlignment="1">
      <alignment vertical="center"/>
    </xf>
    <xf numFmtId="0" fontId="18" fillId="4" borderId="10" xfId="0" applyFont="1" applyFill="1" applyBorder="1" applyAlignment="1">
      <alignment vertical="center"/>
    </xf>
    <xf numFmtId="0" fontId="15" fillId="5" borderId="8" xfId="0" applyFont="1" applyFill="1" applyBorder="1" applyAlignment="1">
      <alignment vertical="center"/>
    </xf>
    <xf numFmtId="0" fontId="15" fillId="5" borderId="16" xfId="0" applyFont="1" applyFill="1" applyBorder="1" applyAlignment="1">
      <alignment vertical="center"/>
    </xf>
    <xf numFmtId="0" fontId="15" fillId="7" borderId="13" xfId="0" applyFont="1" applyFill="1" applyBorder="1" applyAlignment="1">
      <alignment vertical="center"/>
    </xf>
    <xf numFmtId="0" fontId="15" fillId="7" borderId="8" xfId="0" applyFont="1" applyFill="1" applyBorder="1" applyAlignment="1">
      <alignment vertical="center"/>
    </xf>
    <xf numFmtId="0" fontId="15" fillId="7" borderId="16" xfId="0" applyFont="1" applyFill="1" applyBorder="1" applyAlignment="1">
      <alignment vertical="center"/>
    </xf>
    <xf numFmtId="0" fontId="15" fillId="9" borderId="13" xfId="0" applyFont="1" applyFill="1" applyBorder="1" applyAlignment="1">
      <alignment vertical="center"/>
    </xf>
    <xf numFmtId="0" fontId="15" fillId="9" borderId="8" xfId="0" applyFont="1" applyFill="1" applyBorder="1" applyAlignment="1">
      <alignment vertical="center"/>
    </xf>
    <xf numFmtId="0" fontId="15" fillId="9" borderId="16" xfId="0" applyFont="1" applyFill="1" applyBorder="1" applyAlignment="1">
      <alignment vertical="center"/>
    </xf>
    <xf numFmtId="0" fontId="15" fillId="11" borderId="13" xfId="0" applyFont="1" applyFill="1" applyBorder="1" applyAlignment="1">
      <alignment vertical="center"/>
    </xf>
    <xf numFmtId="0" fontId="15" fillId="11" borderId="8" xfId="0" applyFont="1" applyFill="1" applyBorder="1" applyAlignment="1">
      <alignment vertical="center"/>
    </xf>
    <xf numFmtId="0" fontId="15" fillId="11" borderId="16" xfId="0" applyFont="1" applyFill="1" applyBorder="1" applyAlignment="1">
      <alignment vertical="center"/>
    </xf>
    <xf numFmtId="0" fontId="15" fillId="5" borderId="25" xfId="0" applyFont="1" applyFill="1" applyBorder="1" applyAlignment="1">
      <alignment vertical="center"/>
    </xf>
    <xf numFmtId="0" fontId="15" fillId="7" borderId="25" xfId="0" applyFont="1" applyFill="1" applyBorder="1" applyAlignment="1">
      <alignment vertical="center"/>
    </xf>
    <xf numFmtId="0" fontId="15" fillId="12" borderId="1" xfId="0" applyFont="1" applyFill="1" applyBorder="1" applyAlignment="1">
      <alignment horizontal="center" vertical="center"/>
    </xf>
    <xf numFmtId="0" fontId="15" fillId="12" borderId="18" xfId="0" applyFont="1" applyFill="1" applyBorder="1" applyAlignment="1">
      <alignment horizontal="center" vertical="center"/>
    </xf>
    <xf numFmtId="44" fontId="28" fillId="0" borderId="1" xfId="4" applyFont="1" applyBorder="1" applyProtection="1">
      <alignment vertical="center"/>
      <protection hidden="1"/>
    </xf>
    <xf numFmtId="44" fontId="28" fillId="0" borderId="14" xfId="4" applyFont="1" applyBorder="1" applyProtection="1">
      <alignment vertical="center"/>
      <protection hidden="1"/>
    </xf>
    <xf numFmtId="0" fontId="27" fillId="14" borderId="15" xfId="3" applyFont="1" applyFill="1" applyBorder="1" applyAlignment="1" applyProtection="1">
      <alignment horizontal="center" vertical="center"/>
      <protection hidden="1"/>
    </xf>
    <xf numFmtId="0" fontId="27" fillId="14" borderId="1" xfId="3" applyFont="1" applyFill="1" applyBorder="1" applyAlignment="1" applyProtection="1">
      <alignment horizontal="center" vertical="center"/>
      <protection hidden="1"/>
    </xf>
    <xf numFmtId="0" fontId="27" fillId="14" borderId="14" xfId="3" applyFont="1" applyFill="1" applyBorder="1" applyAlignment="1" applyProtection="1">
      <alignment horizontal="center" vertical="center"/>
      <protection hidden="1"/>
    </xf>
    <xf numFmtId="0" fontId="21" fillId="0" borderId="15" xfId="3" applyBorder="1" applyAlignment="1" applyProtection="1">
      <alignment horizontal="center" vertical="center"/>
      <protection hidden="1"/>
    </xf>
    <xf numFmtId="3" fontId="12" fillId="0" borderId="14" xfId="8" applyFill="1" applyBorder="1">
      <alignment horizontal="center" vertical="center"/>
    </xf>
    <xf numFmtId="3" fontId="12" fillId="0" borderId="14" xfId="8" applyBorder="1">
      <alignment horizontal="center" vertical="center"/>
    </xf>
    <xf numFmtId="44" fontId="15" fillId="0" borderId="19" xfId="4" applyFont="1" applyBorder="1">
      <alignment vertical="center"/>
    </xf>
    <xf numFmtId="0" fontId="12" fillId="15" borderId="0" xfId="0" applyFont="1" applyFill="1"/>
    <xf numFmtId="0" fontId="17" fillId="15" borderId="0" xfId="2" applyFill="1">
      <alignment horizontal="left"/>
    </xf>
    <xf numFmtId="0" fontId="16" fillId="15" borderId="0" xfId="0" applyFont="1" applyFill="1" applyAlignment="1">
      <alignment horizontal="left"/>
    </xf>
    <xf numFmtId="0" fontId="0" fillId="15" borderId="0" xfId="0" applyFill="1"/>
    <xf numFmtId="0" fontId="12" fillId="15" borderId="0" xfId="0" applyFont="1" applyFill="1" applyAlignment="1">
      <alignment vertical="center"/>
    </xf>
    <xf numFmtId="0" fontId="17" fillId="15" borderId="0" xfId="11" applyFill="1">
      <alignment horizontal="left" vertical="center"/>
    </xf>
    <xf numFmtId="0" fontId="15" fillId="15" borderId="0" xfId="0" applyFont="1" applyFill="1" applyAlignment="1">
      <alignment vertical="center"/>
    </xf>
    <xf numFmtId="0" fontId="16" fillId="15" borderId="0" xfId="10" applyFill="1">
      <alignment horizontal="left" vertical="center"/>
    </xf>
    <xf numFmtId="0" fontId="22" fillId="15" borderId="0" xfId="3" applyFont="1" applyFill="1" applyProtection="1">
      <protection hidden="1"/>
    </xf>
    <xf numFmtId="0" fontId="18" fillId="2" borderId="25" xfId="0" applyFont="1" applyFill="1" applyBorder="1" applyAlignment="1">
      <alignment horizontal="left" vertical="center"/>
    </xf>
    <xf numFmtId="0" fontId="18" fillId="2" borderId="26" xfId="0" applyFont="1" applyFill="1" applyBorder="1" applyAlignment="1">
      <alignment horizontal="left" vertical="center"/>
    </xf>
    <xf numFmtId="0" fontId="18" fillId="2" borderId="26" xfId="0" applyFont="1" applyFill="1" applyBorder="1" applyAlignment="1">
      <alignment horizontal="center" vertical="center"/>
    </xf>
    <xf numFmtId="3" fontId="12" fillId="3" borderId="1" xfId="8" applyFill="1" applyBorder="1">
      <alignment horizontal="center" vertical="center"/>
    </xf>
    <xf numFmtId="3" fontId="12" fillId="0" borderId="1" xfId="8" applyBorder="1">
      <alignment horizontal="center" vertical="center"/>
    </xf>
    <xf numFmtId="3" fontId="12" fillId="6" borderId="1" xfId="8" applyFill="1" applyBorder="1">
      <alignment horizontal="center" vertical="center"/>
    </xf>
    <xf numFmtId="3" fontId="12" fillId="8" borderId="1" xfId="8" applyFill="1" applyBorder="1">
      <alignment horizontal="center" vertical="center"/>
    </xf>
    <xf numFmtId="0" fontId="15" fillId="9" borderId="25" xfId="0" applyFont="1" applyFill="1" applyBorder="1" applyAlignment="1">
      <alignment vertical="center"/>
    </xf>
    <xf numFmtId="0" fontId="15" fillId="11" borderId="25" xfId="0" applyFont="1" applyFill="1" applyBorder="1" applyAlignment="1">
      <alignment vertical="center"/>
    </xf>
    <xf numFmtId="0" fontId="15" fillId="3" borderId="27" xfId="0" applyFont="1" applyFill="1" applyBorder="1" applyAlignment="1">
      <alignment horizontal="center" vertical="center"/>
    </xf>
    <xf numFmtId="0" fontId="15" fillId="3" borderId="14" xfId="0" applyFont="1" applyFill="1" applyBorder="1" applyAlignment="1">
      <alignment horizontal="center" vertical="center"/>
    </xf>
    <xf numFmtId="44" fontId="27" fillId="14" borderId="19" xfId="4" applyFont="1" applyFill="1" applyBorder="1" applyProtection="1">
      <alignment vertical="center"/>
      <protection hidden="1"/>
    </xf>
    <xf numFmtId="0" fontId="18" fillId="4" borderId="25" xfId="0" applyFont="1" applyFill="1" applyBorder="1" applyAlignment="1">
      <alignment vertical="center"/>
    </xf>
    <xf numFmtId="0" fontId="18" fillId="4" borderId="26" xfId="0" applyFont="1" applyFill="1" applyBorder="1" applyAlignment="1">
      <alignment vertical="center"/>
    </xf>
    <xf numFmtId="0" fontId="18" fillId="4" borderId="18" xfId="0" applyFont="1" applyFill="1" applyBorder="1" applyAlignment="1">
      <alignment vertical="center"/>
    </xf>
    <xf numFmtId="0" fontId="20" fillId="4" borderId="17" xfId="0" applyFont="1" applyFill="1" applyBorder="1" applyAlignment="1">
      <alignment vertical="center"/>
    </xf>
    <xf numFmtId="0" fontId="18" fillId="4" borderId="31" xfId="0" applyFont="1" applyFill="1" applyBorder="1" applyAlignment="1">
      <alignment vertical="center"/>
    </xf>
    <xf numFmtId="0" fontId="18" fillId="4" borderId="33" xfId="0" applyFont="1" applyFill="1" applyBorder="1" applyAlignment="1">
      <alignment vertical="center"/>
    </xf>
    <xf numFmtId="0" fontId="15" fillId="12" borderId="15" xfId="0" applyFont="1" applyFill="1" applyBorder="1" applyAlignment="1">
      <alignment horizontal="left" vertical="center"/>
    </xf>
    <xf numFmtId="0" fontId="15" fillId="12" borderId="1" xfId="0" applyFont="1" applyFill="1" applyBorder="1" applyAlignment="1">
      <alignment horizontal="left" vertical="center"/>
    </xf>
    <xf numFmtId="0" fontId="15" fillId="12" borderId="17" xfId="0" applyFont="1" applyFill="1" applyBorder="1" applyAlignment="1">
      <alignment horizontal="left" vertical="center"/>
    </xf>
    <xf numFmtId="0" fontId="15" fillId="12" borderId="18" xfId="0" applyFont="1" applyFill="1" applyBorder="1" applyAlignment="1">
      <alignment horizontal="left" vertical="center"/>
    </xf>
    <xf numFmtId="0" fontId="15" fillId="12" borderId="1" xfId="0" applyFont="1" applyFill="1" applyBorder="1" applyAlignment="1">
      <alignment vertical="center"/>
    </xf>
    <xf numFmtId="0" fontId="15" fillId="12" borderId="15" xfId="0" applyFont="1" applyFill="1" applyBorder="1" applyAlignment="1">
      <alignment vertical="center"/>
    </xf>
    <xf numFmtId="44" fontId="15" fillId="0" borderId="14" xfId="4" applyFont="1" applyBorder="1">
      <alignment vertical="center"/>
    </xf>
    <xf numFmtId="3" fontId="12" fillId="0" borderId="1" xfId="8" applyFill="1" applyBorder="1">
      <alignment horizontal="center" vertical="center"/>
    </xf>
    <xf numFmtId="0" fontId="15" fillId="7" borderId="17" xfId="0" applyFont="1" applyFill="1" applyBorder="1" applyAlignment="1">
      <alignment vertical="center"/>
    </xf>
    <xf numFmtId="0" fontId="15" fillId="7" borderId="18" xfId="0" applyFont="1" applyFill="1" applyBorder="1" applyAlignment="1">
      <alignment horizontal="center" vertical="center"/>
    </xf>
    <xf numFmtId="0" fontId="21" fillId="11" borderId="25" xfId="0" applyFont="1" applyFill="1" applyBorder="1" applyAlignment="1">
      <alignment vertical="center"/>
    </xf>
    <xf numFmtId="0" fontId="11" fillId="15" borderId="0" xfId="0" applyFont="1" applyFill="1" applyAlignment="1">
      <alignment horizontal="center" vertical="center"/>
    </xf>
    <xf numFmtId="0" fontId="11" fillId="15" borderId="0" xfId="0" applyFont="1" applyFill="1"/>
    <xf numFmtId="0" fontId="0" fillId="15" borderId="0" xfId="0" applyFill="1" applyAlignment="1">
      <alignment horizontal="center" vertical="center"/>
    </xf>
    <xf numFmtId="0" fontId="20" fillId="15" borderId="0" xfId="0" applyFont="1" applyFill="1"/>
    <xf numFmtId="0" fontId="15" fillId="7" borderId="1" xfId="0" applyFont="1" applyFill="1" applyBorder="1" applyAlignment="1">
      <alignment horizontal="center" vertical="center"/>
    </xf>
    <xf numFmtId="0" fontId="21" fillId="7" borderId="15" xfId="0" applyFont="1" applyFill="1" applyBorder="1" applyAlignment="1">
      <alignment vertical="center" wrapText="1"/>
    </xf>
    <xf numFmtId="0" fontId="15" fillId="7" borderId="15" xfId="0" applyFont="1" applyFill="1" applyBorder="1" applyAlignment="1">
      <alignment vertical="center"/>
    </xf>
    <xf numFmtId="0" fontId="21" fillId="7" borderId="15" xfId="0" applyFont="1" applyFill="1" applyBorder="1" applyAlignment="1">
      <alignment vertical="center"/>
    </xf>
    <xf numFmtId="0" fontId="7" fillId="15" borderId="0" xfId="0" applyFont="1" applyFill="1"/>
    <xf numFmtId="0" fontId="15" fillId="11" borderId="26" xfId="0" applyFont="1" applyFill="1" applyBorder="1" applyAlignment="1">
      <alignment horizontal="center" vertical="center"/>
    </xf>
    <xf numFmtId="0" fontId="15" fillId="16" borderId="25" xfId="0" applyFont="1" applyFill="1" applyBorder="1" applyAlignment="1">
      <alignment vertical="center"/>
    </xf>
    <xf numFmtId="0" fontId="15" fillId="16" borderId="26" xfId="0" applyFont="1" applyFill="1" applyBorder="1" applyAlignment="1">
      <alignment vertical="center"/>
    </xf>
    <xf numFmtId="0" fontId="6" fillId="15" borderId="0" xfId="0" applyFont="1" applyFill="1" applyAlignment="1">
      <alignment vertical="center"/>
    </xf>
    <xf numFmtId="3" fontId="12" fillId="0" borderId="6" xfId="8" applyFill="1" applyBorder="1">
      <alignment horizontal="center" vertical="center"/>
    </xf>
    <xf numFmtId="3" fontId="12" fillId="6" borderId="37" xfId="8" applyFill="1" applyBorder="1">
      <alignment horizontal="center" vertical="center"/>
    </xf>
    <xf numFmtId="3" fontId="12" fillId="8" borderId="37" xfId="8" applyFill="1" applyBorder="1">
      <alignment horizontal="center" vertical="center"/>
    </xf>
    <xf numFmtId="0" fontId="10" fillId="0" borderId="0" xfId="0" applyFont="1"/>
    <xf numFmtId="0" fontId="30" fillId="15" borderId="0" xfId="0" applyFont="1" applyFill="1" applyAlignment="1">
      <alignment vertical="center"/>
    </xf>
    <xf numFmtId="0" fontId="24" fillId="18" borderId="0" xfId="0" applyFont="1" applyFill="1" applyAlignment="1" applyProtection="1">
      <alignment vertical="center"/>
      <protection locked="0"/>
    </xf>
    <xf numFmtId="0" fontId="31" fillId="3" borderId="16" xfId="13" applyFill="1" applyBorder="1" applyAlignment="1">
      <alignment horizontal="left" vertical="center"/>
    </xf>
    <xf numFmtId="0" fontId="18" fillId="2" borderId="31" xfId="0" applyFont="1" applyFill="1" applyBorder="1" applyAlignment="1">
      <alignment horizontal="center" vertical="center"/>
    </xf>
    <xf numFmtId="0" fontId="18" fillId="2" borderId="12" xfId="0" applyFont="1" applyFill="1" applyBorder="1" applyAlignment="1">
      <alignment horizontal="center" vertical="center"/>
    </xf>
    <xf numFmtId="0" fontId="20" fillId="4" borderId="1" xfId="0" applyFont="1" applyFill="1" applyBorder="1" applyAlignment="1">
      <alignment vertical="center"/>
    </xf>
    <xf numFmtId="0" fontId="15" fillId="5" borderId="1" xfId="0" applyFont="1" applyFill="1" applyBorder="1" applyAlignment="1">
      <alignment vertical="center"/>
    </xf>
    <xf numFmtId="0" fontId="15" fillId="7" borderId="1" xfId="0" applyFont="1" applyFill="1" applyBorder="1" applyAlignment="1">
      <alignment vertical="center"/>
    </xf>
    <xf numFmtId="0" fontId="15" fillId="9" borderId="1" xfId="0" applyFont="1" applyFill="1" applyBorder="1" applyAlignment="1">
      <alignment vertical="center"/>
    </xf>
    <xf numFmtId="0" fontId="15" fillId="11" borderId="1" xfId="0" applyFont="1" applyFill="1" applyBorder="1" applyAlignment="1">
      <alignment vertical="center"/>
    </xf>
    <xf numFmtId="0" fontId="24" fillId="15" borderId="0" xfId="0" applyFont="1" applyFill="1"/>
    <xf numFmtId="9" fontId="15" fillId="0" borderId="14" xfId="5" applyFont="1" applyBorder="1" applyAlignment="1">
      <alignment horizontal="center" vertical="center"/>
    </xf>
    <xf numFmtId="0" fontId="15" fillId="6" borderId="1" xfId="0" applyFont="1" applyFill="1" applyBorder="1" applyAlignment="1">
      <alignment horizontal="center" vertical="center"/>
    </xf>
    <xf numFmtId="0" fontId="15" fillId="17" borderId="45" xfId="0" applyFont="1" applyFill="1" applyBorder="1"/>
    <xf numFmtId="0" fontId="20" fillId="4" borderId="18" xfId="0" applyFont="1" applyFill="1" applyBorder="1" applyAlignment="1">
      <alignment vertical="center"/>
    </xf>
    <xf numFmtId="0" fontId="5" fillId="15" borderId="0" xfId="0" applyFont="1" applyFill="1"/>
    <xf numFmtId="0" fontId="5" fillId="15" borderId="0" xfId="0" applyFont="1" applyFill="1" applyAlignment="1">
      <alignment vertical="center"/>
    </xf>
    <xf numFmtId="0" fontId="24" fillId="10" borderId="13" xfId="0" applyFont="1" applyFill="1" applyBorder="1" applyAlignment="1">
      <alignment horizontal="left" vertical="center"/>
    </xf>
    <xf numFmtId="0" fontId="24" fillId="10" borderId="8" xfId="0" applyFont="1" applyFill="1" applyBorder="1" applyAlignment="1">
      <alignment horizontal="left" vertical="center"/>
    </xf>
    <xf numFmtId="0" fontId="24" fillId="10" borderId="7" xfId="0" applyFont="1" applyFill="1" applyBorder="1" applyAlignment="1">
      <alignment horizontal="left" vertical="center"/>
    </xf>
    <xf numFmtId="0" fontId="15" fillId="3" borderId="10" xfId="0" applyFont="1" applyFill="1" applyBorder="1" applyAlignment="1">
      <alignment horizontal="left" vertical="center"/>
    </xf>
    <xf numFmtId="0" fontId="15" fillId="3" borderId="11" xfId="0" applyFont="1" applyFill="1" applyBorder="1" applyAlignment="1">
      <alignment horizontal="left" vertical="center"/>
    </xf>
    <xf numFmtId="0" fontId="15" fillId="3" borderId="28" xfId="0" applyFont="1" applyFill="1" applyBorder="1" applyAlignment="1">
      <alignment horizontal="left" vertical="center"/>
    </xf>
    <xf numFmtId="0" fontId="15" fillId="3" borderId="13" xfId="0" applyFont="1" applyFill="1" applyBorder="1" applyAlignment="1">
      <alignment horizontal="left" vertical="center"/>
    </xf>
    <xf numFmtId="0" fontId="15" fillId="3" borderId="8" xfId="0" applyFont="1" applyFill="1" applyBorder="1" applyAlignment="1">
      <alignment horizontal="left" vertical="center"/>
    </xf>
    <xf numFmtId="0" fontId="15" fillId="3" borderId="7" xfId="0" applyFont="1" applyFill="1" applyBorder="1" applyAlignment="1">
      <alignment horizontal="left" vertical="center"/>
    </xf>
    <xf numFmtId="0" fontId="15" fillId="3" borderId="23" xfId="0" applyFont="1" applyFill="1" applyBorder="1" applyAlignment="1">
      <alignment horizontal="left" vertical="center"/>
    </xf>
    <xf numFmtId="0" fontId="15" fillId="3" borderId="39" xfId="0" applyFont="1" applyFill="1" applyBorder="1" applyAlignment="1">
      <alignment horizontal="left" vertical="center"/>
    </xf>
    <xf numFmtId="0" fontId="15" fillId="3" borderId="24" xfId="0" applyFont="1" applyFill="1" applyBorder="1" applyAlignment="1">
      <alignment horizontal="left" vertical="center"/>
    </xf>
    <xf numFmtId="0" fontId="15" fillId="11" borderId="12" xfId="0" applyFont="1" applyFill="1" applyBorder="1" applyAlignment="1">
      <alignment horizontal="center" vertical="center"/>
    </xf>
    <xf numFmtId="0" fontId="5" fillId="3" borderId="1" xfId="0" applyFont="1" applyFill="1" applyBorder="1" applyAlignment="1">
      <alignment horizontal="left" vertical="center"/>
    </xf>
    <xf numFmtId="0" fontId="5" fillId="15" borderId="1" xfId="0" applyFont="1" applyFill="1" applyBorder="1" applyAlignment="1">
      <alignment horizontal="left" vertical="center"/>
    </xf>
    <xf numFmtId="0" fontId="31" fillId="3" borderId="14" xfId="13" applyFill="1" applyBorder="1" applyAlignment="1">
      <alignment vertical="center"/>
    </xf>
    <xf numFmtId="0" fontId="31" fillId="15" borderId="16" xfId="13" applyFill="1" applyBorder="1" applyAlignment="1">
      <alignment horizontal="left" vertical="center"/>
    </xf>
    <xf numFmtId="3" fontId="5" fillId="3" borderId="1" xfId="8" applyFont="1" applyFill="1" applyBorder="1">
      <alignment horizontal="center" vertical="center"/>
    </xf>
    <xf numFmtId="0" fontId="5" fillId="6" borderId="1" xfId="0" applyFont="1" applyFill="1" applyBorder="1" applyAlignment="1">
      <alignment horizontal="center" vertical="center"/>
    </xf>
    <xf numFmtId="0" fontId="5" fillId="0" borderId="1" xfId="0" applyFont="1" applyBorder="1" applyAlignment="1">
      <alignment horizontal="center" vertical="center"/>
    </xf>
    <xf numFmtId="3" fontId="12" fillId="18" borderId="18" xfId="8" applyFill="1" applyBorder="1">
      <alignment horizontal="center" vertical="center"/>
    </xf>
    <xf numFmtId="3" fontId="12" fillId="18" borderId="19" xfId="8" applyFill="1" applyBorder="1">
      <alignment horizontal="center" vertical="center"/>
    </xf>
    <xf numFmtId="0" fontId="5" fillId="10" borderId="13" xfId="0" quotePrefix="1" applyFont="1" applyFill="1" applyBorder="1" applyAlignment="1">
      <alignment horizontal="left" vertical="center"/>
    </xf>
    <xf numFmtId="0" fontId="32" fillId="15" borderId="0" xfId="0" applyFont="1" applyFill="1"/>
    <xf numFmtId="0" fontId="33" fillId="15" borderId="0" xfId="0" applyFont="1" applyFill="1"/>
    <xf numFmtId="0" fontId="16" fillId="15" borderId="0" xfId="0" applyFont="1" applyFill="1" applyAlignment="1">
      <alignment horizontal="center" vertical="center"/>
    </xf>
    <xf numFmtId="0" fontId="31" fillId="0" borderId="50" xfId="13" quotePrefix="1" applyBorder="1"/>
    <xf numFmtId="0" fontId="5" fillId="15" borderId="0" xfId="0" applyFont="1" applyFill="1" applyAlignment="1">
      <alignment horizontal="center" vertical="center"/>
    </xf>
    <xf numFmtId="0" fontId="5" fillId="15" borderId="25" xfId="0" applyFont="1" applyFill="1" applyBorder="1" applyAlignment="1">
      <alignment vertical="center"/>
    </xf>
    <xf numFmtId="0" fontId="5" fillId="15" borderId="27" xfId="0" applyFont="1" applyFill="1" applyBorder="1" applyAlignment="1">
      <alignment vertical="center"/>
    </xf>
    <xf numFmtId="0" fontId="5" fillId="15" borderId="15" xfId="0" applyFont="1" applyFill="1" applyBorder="1" applyAlignment="1">
      <alignment vertical="center"/>
    </xf>
    <xf numFmtId="0" fontId="5" fillId="15" borderId="14" xfId="0" applyFont="1" applyFill="1" applyBorder="1" applyAlignment="1">
      <alignment vertical="center"/>
    </xf>
    <xf numFmtId="0" fontId="5" fillId="15" borderId="17" xfId="0" applyFont="1" applyFill="1" applyBorder="1" applyAlignment="1">
      <alignment vertical="center"/>
    </xf>
    <xf numFmtId="0" fontId="5" fillId="15" borderId="19" xfId="0" applyFont="1" applyFill="1" applyBorder="1" applyAlignment="1">
      <alignment vertical="center"/>
    </xf>
    <xf numFmtId="0" fontId="5" fillId="15" borderId="0" xfId="0" quotePrefix="1" applyFont="1" applyFill="1" applyAlignment="1">
      <alignment vertical="center"/>
    </xf>
    <xf numFmtId="0" fontId="5" fillId="15" borderId="44" xfId="0" applyFont="1" applyFill="1" applyBorder="1" applyAlignment="1">
      <alignment vertical="center"/>
    </xf>
    <xf numFmtId="0" fontId="5" fillId="15" borderId="43" xfId="0" applyFont="1" applyFill="1" applyBorder="1" applyAlignment="1">
      <alignment vertical="center"/>
    </xf>
    <xf numFmtId="0" fontId="5" fillId="3" borderId="15" xfId="0" applyFont="1" applyFill="1" applyBorder="1" applyAlignment="1">
      <alignment horizontal="left" vertical="center"/>
    </xf>
    <xf numFmtId="0" fontId="5" fillId="3" borderId="6" xfId="0" applyFont="1" applyFill="1" applyBorder="1" applyAlignment="1">
      <alignment horizontal="left" vertical="center"/>
    </xf>
    <xf numFmtId="0" fontId="5" fillId="3" borderId="1" xfId="0" applyFont="1" applyFill="1" applyBorder="1" applyAlignment="1">
      <alignment vertical="center"/>
    </xf>
    <xf numFmtId="0" fontId="5" fillId="15" borderId="15" xfId="0" applyFont="1" applyFill="1" applyBorder="1" applyAlignment="1">
      <alignment horizontal="left" vertical="center"/>
    </xf>
    <xf numFmtId="0" fontId="5" fillId="15" borderId="6" xfId="0" applyFont="1" applyFill="1" applyBorder="1" applyAlignment="1">
      <alignment horizontal="left" vertical="center"/>
    </xf>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5" borderId="1" xfId="0" applyFont="1" applyFill="1" applyBorder="1" applyAlignment="1">
      <alignment vertical="center"/>
    </xf>
    <xf numFmtId="0" fontId="5" fillId="5" borderId="1" xfId="0" applyFont="1" applyFill="1" applyBorder="1" applyAlignment="1">
      <alignment horizontal="center" vertical="center"/>
    </xf>
    <xf numFmtId="165" fontId="5" fillId="0" borderId="1" xfId="9" applyFont="1" applyBorder="1">
      <alignment horizontal="right" vertical="center"/>
    </xf>
    <xf numFmtId="44" fontId="5" fillId="6" borderId="1" xfId="4" applyFont="1" applyFill="1" applyBorder="1" applyAlignment="1">
      <alignment horizontal="center" vertical="center"/>
    </xf>
    <xf numFmtId="44" fontId="5" fillId="0" borderId="1" xfId="4" applyFont="1" applyBorder="1" applyAlignment="1">
      <alignment horizontal="center" vertical="center"/>
    </xf>
    <xf numFmtId="0" fontId="5" fillId="7" borderId="1" xfId="0" applyFont="1" applyFill="1" applyBorder="1" applyAlignment="1">
      <alignment vertical="center"/>
    </xf>
    <xf numFmtId="0" fontId="5" fillId="7" borderId="1" xfId="0" applyFont="1" applyFill="1" applyBorder="1" applyAlignment="1">
      <alignment horizontal="center" vertical="center"/>
    </xf>
    <xf numFmtId="165" fontId="5" fillId="8" borderId="1" xfId="9" applyFont="1" applyFill="1" applyBorder="1">
      <alignment horizontal="right" vertical="center"/>
    </xf>
    <xf numFmtId="44" fontId="5" fillId="8" borderId="1" xfId="4" applyFont="1" applyFill="1" applyBorder="1" applyAlignment="1">
      <alignment horizontal="center" vertical="center"/>
    </xf>
    <xf numFmtId="0" fontId="5" fillId="9" borderId="1" xfId="0" applyFont="1" applyFill="1" applyBorder="1" applyAlignment="1">
      <alignment vertical="center" wrapText="1"/>
    </xf>
    <xf numFmtId="0" fontId="5" fillId="9" borderId="1" xfId="0" applyFont="1" applyFill="1" applyBorder="1" applyAlignment="1">
      <alignment horizontal="center" vertical="center"/>
    </xf>
    <xf numFmtId="44" fontId="5" fillId="10" borderId="1" xfId="4" applyFont="1" applyFill="1" applyBorder="1" applyAlignment="1">
      <alignment horizontal="center" vertical="center"/>
    </xf>
    <xf numFmtId="44" fontId="5" fillId="0" borderId="1" xfId="4" applyFont="1" applyFill="1" applyBorder="1" applyAlignment="1">
      <alignment horizontal="center" vertical="center"/>
    </xf>
    <xf numFmtId="0" fontId="5" fillId="11" borderId="1" xfId="0" applyFont="1" applyFill="1" applyBorder="1" applyAlignment="1">
      <alignment vertical="center"/>
    </xf>
    <xf numFmtId="0" fontId="5" fillId="11" borderId="1" xfId="0" applyFont="1" applyFill="1" applyBorder="1" applyAlignment="1">
      <alignment horizontal="center" vertical="center"/>
    </xf>
    <xf numFmtId="44" fontId="5" fillId="12" borderId="1" xfId="4" applyFont="1" applyFill="1" applyBorder="1" applyAlignment="1">
      <alignment horizontal="center" vertical="center"/>
    </xf>
    <xf numFmtId="0" fontId="5" fillId="4" borderId="11" xfId="0" applyFont="1" applyFill="1" applyBorder="1" applyAlignment="1">
      <alignment vertical="center"/>
    </xf>
    <xf numFmtId="0" fontId="5" fillId="4" borderId="12" xfId="0" applyFont="1" applyFill="1" applyBorder="1" applyAlignment="1">
      <alignment vertical="center"/>
    </xf>
    <xf numFmtId="0" fontId="5" fillId="0" borderId="14" xfId="0" applyFont="1" applyBorder="1" applyAlignment="1">
      <alignment horizontal="center" vertical="center"/>
    </xf>
    <xf numFmtId="0" fontId="5" fillId="0" borderId="14" xfId="0" applyFont="1" applyBorder="1" applyAlignment="1">
      <alignment horizontal="center" vertical="center" wrapText="1"/>
    </xf>
    <xf numFmtId="0" fontId="5" fillId="5" borderId="13" xfId="0" applyFont="1" applyFill="1" applyBorder="1" applyAlignment="1">
      <alignment vertical="center"/>
    </xf>
    <xf numFmtId="0" fontId="5" fillId="5" borderId="7" xfId="0" applyFont="1" applyFill="1" applyBorder="1" applyAlignment="1">
      <alignment vertical="center"/>
    </xf>
    <xf numFmtId="0" fontId="5" fillId="5" borderId="15" xfId="0" applyFont="1" applyFill="1" applyBorder="1" applyAlignment="1">
      <alignment vertical="center"/>
    </xf>
    <xf numFmtId="44" fontId="5" fillId="10" borderId="14" xfId="4" applyFont="1" applyFill="1" applyBorder="1">
      <alignment vertical="center"/>
    </xf>
    <xf numFmtId="0" fontId="5" fillId="10" borderId="13" xfId="0" applyFont="1" applyFill="1" applyBorder="1" applyAlignment="1">
      <alignment horizontal="left" vertical="center"/>
    </xf>
    <xf numFmtId="0" fontId="5" fillId="10" borderId="8" xfId="0" applyFont="1" applyFill="1" applyBorder="1" applyAlignment="1">
      <alignment horizontal="left" vertical="center"/>
    </xf>
    <xf numFmtId="0" fontId="5" fillId="10" borderId="7" xfId="0" applyFont="1" applyFill="1" applyBorder="1" applyAlignment="1">
      <alignment horizontal="left" vertical="center"/>
    </xf>
    <xf numFmtId="165" fontId="5" fillId="0" borderId="14" xfId="9" applyFont="1" applyFill="1" applyBorder="1">
      <alignment horizontal="right" vertical="center"/>
    </xf>
    <xf numFmtId="44" fontId="5" fillId="0" borderId="14" xfId="4" applyFont="1" applyFill="1" applyBorder="1">
      <alignment vertical="center"/>
    </xf>
    <xf numFmtId="0" fontId="5" fillId="7" borderId="15" xfId="0" applyFont="1" applyFill="1" applyBorder="1" applyAlignment="1">
      <alignment vertical="center"/>
    </xf>
    <xf numFmtId="44" fontId="5" fillId="0" borderId="14" xfId="4" applyFont="1" applyBorder="1">
      <alignment vertical="center"/>
    </xf>
    <xf numFmtId="44" fontId="5" fillId="0" borderId="19" xfId="4" applyFont="1" applyBorder="1">
      <alignment vertical="center"/>
    </xf>
    <xf numFmtId="0" fontId="5" fillId="9" borderId="15" xfId="0" applyFont="1" applyFill="1" applyBorder="1" applyAlignment="1">
      <alignment vertical="center" wrapText="1"/>
    </xf>
    <xf numFmtId="0" fontId="5" fillId="11" borderId="15" xfId="0" applyFont="1" applyFill="1" applyBorder="1" applyAlignment="1">
      <alignment vertical="center"/>
    </xf>
    <xf numFmtId="0" fontId="5" fillId="11" borderId="17" xfId="0" applyFont="1" applyFill="1" applyBorder="1" applyAlignment="1">
      <alignment vertical="center"/>
    </xf>
    <xf numFmtId="0" fontId="5" fillId="11" borderId="18" xfId="0" applyFont="1" applyFill="1" applyBorder="1" applyAlignment="1">
      <alignment horizontal="center" vertical="center"/>
    </xf>
    <xf numFmtId="44" fontId="5" fillId="0" borderId="19" xfId="4" applyFont="1" applyFill="1" applyBorder="1">
      <alignment vertical="center"/>
    </xf>
    <xf numFmtId="165" fontId="5" fillId="0" borderId="14" xfId="9" applyFont="1" applyBorder="1">
      <alignment horizontal="right" vertical="center"/>
    </xf>
    <xf numFmtId="0" fontId="5" fillId="6" borderId="13" xfId="0" applyFont="1" applyFill="1" applyBorder="1" applyAlignment="1">
      <alignment vertical="center"/>
    </xf>
    <xf numFmtId="0" fontId="5" fillId="6" borderId="7" xfId="0" applyFont="1" applyFill="1" applyBorder="1" applyAlignment="1">
      <alignment vertical="center"/>
    </xf>
    <xf numFmtId="0" fontId="5" fillId="6" borderId="23" xfId="0" applyFont="1" applyFill="1" applyBorder="1" applyAlignment="1">
      <alignment vertical="center"/>
    </xf>
    <xf numFmtId="0" fontId="5" fillId="6" borderId="24" xfId="0" applyFont="1" applyFill="1" applyBorder="1" applyAlignment="1">
      <alignment vertical="center"/>
    </xf>
    <xf numFmtId="0" fontId="5" fillId="6" borderId="18" xfId="0" applyFont="1" applyFill="1" applyBorder="1" applyAlignment="1">
      <alignment horizontal="center" vertical="center"/>
    </xf>
    <xf numFmtId="9" fontId="5" fillId="0" borderId="19" xfId="5" applyFont="1" applyBorder="1" applyAlignment="1">
      <alignment horizontal="center" vertical="center"/>
    </xf>
    <xf numFmtId="0" fontId="5" fillId="0" borderId="0" xfId="0" applyFont="1"/>
    <xf numFmtId="0" fontId="5" fillId="8" borderId="15" xfId="0" applyFont="1" applyFill="1" applyBorder="1" applyAlignment="1">
      <alignment vertical="center"/>
    </xf>
    <xf numFmtId="0" fontId="5" fillId="8" borderId="1" xfId="0" applyFont="1" applyFill="1" applyBorder="1" applyAlignment="1">
      <alignment horizontal="center" vertical="center"/>
    </xf>
    <xf numFmtId="0" fontId="5" fillId="0" borderId="17" xfId="0" applyFont="1" applyBorder="1" applyAlignment="1">
      <alignment vertical="center"/>
    </xf>
    <xf numFmtId="0" fontId="5" fillId="0" borderId="18" xfId="0" applyFont="1" applyBorder="1" applyAlignment="1">
      <alignment vertical="center"/>
    </xf>
    <xf numFmtId="9" fontId="5" fillId="0" borderId="19" xfId="1" applyFont="1" applyBorder="1" applyAlignment="1">
      <alignment horizontal="center" vertical="center"/>
    </xf>
    <xf numFmtId="0" fontId="5" fillId="8" borderId="17" xfId="0" applyFont="1" applyFill="1" applyBorder="1" applyAlignment="1">
      <alignment vertical="center"/>
    </xf>
    <xf numFmtId="0" fontId="5" fillId="8" borderId="18" xfId="0" applyFont="1" applyFill="1" applyBorder="1" applyAlignment="1">
      <alignment horizontal="center" vertical="center"/>
    </xf>
    <xf numFmtId="0" fontId="5" fillId="10" borderId="1" xfId="0" applyFont="1" applyFill="1" applyBorder="1" applyAlignment="1">
      <alignment horizontal="center" vertical="center"/>
    </xf>
    <xf numFmtId="0" fontId="5" fillId="10" borderId="18" xfId="0" applyFont="1" applyFill="1" applyBorder="1" applyAlignment="1">
      <alignment horizontal="center" vertical="center"/>
    </xf>
    <xf numFmtId="0" fontId="5" fillId="5" borderId="26" xfId="0" applyFont="1" applyFill="1" applyBorder="1" applyAlignment="1">
      <alignment horizontal="center" vertical="center"/>
    </xf>
    <xf numFmtId="0" fontId="5" fillId="5" borderId="17" xfId="0" applyFont="1" applyFill="1" applyBorder="1" applyAlignment="1">
      <alignment vertical="center"/>
    </xf>
    <xf numFmtId="0" fontId="5" fillId="7" borderId="26" xfId="0" applyFont="1" applyFill="1" applyBorder="1" applyAlignment="1">
      <alignment horizontal="center" vertical="center"/>
    </xf>
    <xf numFmtId="0" fontId="5" fillId="7" borderId="27" xfId="0" applyFont="1" applyFill="1" applyBorder="1" applyAlignment="1">
      <alignment horizontal="center" vertical="center"/>
    </xf>
    <xf numFmtId="0" fontId="5" fillId="7" borderId="17" xfId="0" applyFont="1" applyFill="1" applyBorder="1" applyAlignment="1">
      <alignment vertical="center"/>
    </xf>
    <xf numFmtId="0" fontId="5" fillId="10" borderId="13" xfId="0" applyFont="1" applyFill="1" applyBorder="1" applyAlignment="1">
      <alignment vertical="center"/>
    </xf>
    <xf numFmtId="0" fontId="5" fillId="10" borderId="8" xfId="0" applyFont="1" applyFill="1" applyBorder="1" applyAlignment="1">
      <alignment vertical="center"/>
    </xf>
    <xf numFmtId="0" fontId="5" fillId="10" borderId="7" xfId="0" applyFont="1" applyFill="1" applyBorder="1" applyAlignment="1">
      <alignment vertical="center"/>
    </xf>
    <xf numFmtId="0" fontId="5" fillId="0" borderId="6" xfId="0" applyFont="1" applyBorder="1" applyAlignment="1">
      <alignment horizontal="center" vertical="center"/>
    </xf>
    <xf numFmtId="0" fontId="5" fillId="3" borderId="18" xfId="0" applyFont="1" applyFill="1" applyBorder="1" applyAlignment="1">
      <alignment horizontal="center" vertical="center" wrapText="1"/>
    </xf>
    <xf numFmtId="0" fontId="5" fillId="0" borderId="18" xfId="0" applyFont="1" applyBorder="1" applyAlignment="1">
      <alignment horizontal="center" vertical="center" wrapText="1"/>
    </xf>
    <xf numFmtId="0" fontId="5" fillId="5" borderId="31" xfId="0" applyFont="1" applyFill="1" applyBorder="1" applyAlignment="1">
      <alignment horizontal="center" vertical="center"/>
    </xf>
    <xf numFmtId="0" fontId="5" fillId="5" borderId="33" xfId="0" applyFont="1" applyFill="1" applyBorder="1" applyAlignment="1">
      <alignment horizontal="center" vertical="center"/>
    </xf>
    <xf numFmtId="0" fontId="5" fillId="5" borderId="17" xfId="0" applyFont="1" applyFill="1" applyBorder="1" applyAlignment="1">
      <alignment horizontal="left" vertical="center"/>
    </xf>
    <xf numFmtId="0" fontId="5" fillId="5" borderId="18" xfId="0" applyFont="1" applyFill="1" applyBorder="1" applyAlignment="1">
      <alignment horizontal="center" vertical="center"/>
    </xf>
    <xf numFmtId="44" fontId="5" fillId="6" borderId="1" xfId="4" applyFont="1" applyFill="1" applyBorder="1">
      <alignment vertical="center"/>
    </xf>
    <xf numFmtId="44" fontId="5" fillId="0" borderId="1" xfId="4" applyFont="1" applyFill="1" applyBorder="1">
      <alignment vertical="center"/>
    </xf>
    <xf numFmtId="44" fontId="5" fillId="0" borderId="6" xfId="4" applyFont="1" applyFill="1" applyBorder="1">
      <alignment vertical="center"/>
    </xf>
    <xf numFmtId="0" fontId="5" fillId="7" borderId="31" xfId="0" applyFont="1" applyFill="1" applyBorder="1" applyAlignment="1">
      <alignment horizontal="center" vertical="center"/>
    </xf>
    <xf numFmtId="0" fontId="5" fillId="7" borderId="33" xfId="0" applyFont="1" applyFill="1" applyBorder="1" applyAlignment="1">
      <alignment horizontal="center" vertical="center"/>
    </xf>
    <xf numFmtId="0" fontId="5" fillId="7" borderId="18" xfId="0" applyFont="1" applyFill="1" applyBorder="1" applyAlignment="1">
      <alignment horizontal="center" vertical="center"/>
    </xf>
    <xf numFmtId="44" fontId="5" fillId="8" borderId="1" xfId="4" applyFont="1" applyFill="1" applyBorder="1">
      <alignment vertical="center"/>
    </xf>
    <xf numFmtId="44" fontId="5" fillId="8" borderId="38" xfId="4" applyFont="1" applyFill="1" applyBorder="1">
      <alignment vertical="center"/>
    </xf>
    <xf numFmtId="0" fontId="5" fillId="9" borderId="26" xfId="0" applyFont="1" applyFill="1" applyBorder="1" applyAlignment="1">
      <alignment horizontal="center" vertical="center"/>
    </xf>
    <xf numFmtId="0" fontId="5" fillId="9" borderId="31" xfId="0" applyFont="1" applyFill="1" applyBorder="1" applyAlignment="1">
      <alignment horizontal="center" vertical="center"/>
    </xf>
    <xf numFmtId="0" fontId="5" fillId="9" borderId="33" xfId="0" applyFont="1" applyFill="1" applyBorder="1" applyAlignment="1">
      <alignment horizontal="center" vertical="center"/>
    </xf>
    <xf numFmtId="0" fontId="5" fillId="9" borderId="17" xfId="0" applyFont="1" applyFill="1" applyBorder="1" applyAlignment="1">
      <alignment vertical="center" wrapText="1"/>
    </xf>
    <xf numFmtId="0" fontId="5" fillId="9" borderId="18" xfId="0" applyFont="1" applyFill="1" applyBorder="1" applyAlignment="1">
      <alignment horizontal="center" vertical="center" wrapText="1"/>
    </xf>
    <xf numFmtId="44" fontId="5" fillId="10" borderId="18" xfId="4" applyFont="1" applyFill="1" applyBorder="1">
      <alignment vertical="center"/>
    </xf>
    <xf numFmtId="44" fontId="5" fillId="0" borderId="18" xfId="4" applyFont="1" applyFill="1" applyBorder="1">
      <alignment vertical="center"/>
    </xf>
    <xf numFmtId="44" fontId="5" fillId="0" borderId="32" xfId="4" applyFont="1" applyFill="1" applyBorder="1">
      <alignment vertical="center"/>
    </xf>
    <xf numFmtId="44" fontId="5" fillId="10" borderId="38" xfId="4" applyFont="1" applyFill="1" applyBorder="1">
      <alignment vertical="center"/>
    </xf>
    <xf numFmtId="0" fontId="5" fillId="11" borderId="26" xfId="0" applyFont="1" applyFill="1" applyBorder="1" applyAlignment="1">
      <alignment horizontal="center" vertical="center"/>
    </xf>
    <xf numFmtId="0" fontId="5" fillId="11" borderId="31" xfId="0" applyFont="1" applyFill="1" applyBorder="1" applyAlignment="1">
      <alignment horizontal="center" vertical="center"/>
    </xf>
    <xf numFmtId="0" fontId="5" fillId="11" borderId="33" xfId="0" applyFont="1" applyFill="1" applyBorder="1" applyAlignment="1">
      <alignment horizontal="center" vertical="center"/>
    </xf>
    <xf numFmtId="44" fontId="5" fillId="12" borderId="1" xfId="4" applyFont="1" applyFill="1" applyBorder="1">
      <alignment vertical="center"/>
    </xf>
    <xf numFmtId="44" fontId="5" fillId="12" borderId="37" xfId="4" applyFont="1" applyFill="1" applyBorder="1">
      <alignment vertical="center"/>
    </xf>
    <xf numFmtId="44" fontId="5" fillId="12" borderId="18" xfId="4" applyFont="1" applyFill="1" applyBorder="1">
      <alignment vertical="center"/>
    </xf>
    <xf numFmtId="44" fontId="5" fillId="12" borderId="38" xfId="4" applyFont="1" applyFill="1" applyBorder="1">
      <alignment vertical="center"/>
    </xf>
    <xf numFmtId="0" fontId="34" fillId="15" borderId="0" xfId="0" applyFont="1" applyFill="1" applyAlignment="1">
      <alignment vertical="center"/>
    </xf>
    <xf numFmtId="0" fontId="5" fillId="15" borderId="0" xfId="0" applyFont="1" applyFill="1" applyAlignment="1">
      <alignment vertical="center" wrapText="1"/>
    </xf>
    <xf numFmtId="0" fontId="35" fillId="0" borderId="0" xfId="16" applyFont="1" applyAlignment="1" applyProtection="1">
      <alignment horizontal="left" vertical="top"/>
      <protection hidden="1"/>
    </xf>
    <xf numFmtId="0" fontId="36" fillId="0" borderId="0" xfId="16" applyFont="1" applyAlignment="1" applyProtection="1">
      <alignment horizontal="center" vertical="center"/>
      <protection hidden="1"/>
    </xf>
    <xf numFmtId="0" fontId="36" fillId="0" borderId="0" xfId="16" applyFont="1" applyAlignment="1" applyProtection="1">
      <alignment vertical="center"/>
      <protection hidden="1"/>
    </xf>
    <xf numFmtId="0" fontId="37" fillId="0" borderId="0" xfId="16" applyFont="1" applyAlignment="1" applyProtection="1">
      <alignment horizontal="left" vertical="top" wrapText="1"/>
      <protection hidden="1"/>
    </xf>
    <xf numFmtId="0" fontId="11" fillId="0" borderId="0" xfId="17"/>
    <xf numFmtId="0" fontId="38" fillId="0" borderId="0" xfId="16" applyFont="1" applyAlignment="1" applyProtection="1">
      <alignment horizontal="right"/>
      <protection hidden="1"/>
    </xf>
    <xf numFmtId="0" fontId="39" fillId="0" borderId="42" xfId="16" applyFont="1" applyBorder="1" applyAlignment="1" applyProtection="1">
      <alignment vertical="center"/>
      <protection hidden="1"/>
    </xf>
    <xf numFmtId="0" fontId="38" fillId="0" borderId="0" xfId="16" applyFont="1" applyAlignment="1" applyProtection="1">
      <alignment vertical="center"/>
      <protection hidden="1"/>
    </xf>
    <xf numFmtId="0" fontId="38" fillId="0" borderId="0" xfId="16" applyFont="1" applyAlignment="1" applyProtection="1">
      <alignment horizontal="right" vertical="center"/>
      <protection hidden="1"/>
    </xf>
    <xf numFmtId="0" fontId="37" fillId="0" borderId="0" xfId="16" applyFont="1" applyAlignment="1" applyProtection="1">
      <alignment horizontal="left" vertical="center" wrapText="1"/>
      <protection hidden="1"/>
    </xf>
    <xf numFmtId="0" fontId="38" fillId="0" borderId="0" xfId="16" applyFont="1" applyProtection="1">
      <protection hidden="1"/>
    </xf>
    <xf numFmtId="0" fontId="40" fillId="0" borderId="0" xfId="16" applyFont="1" applyAlignment="1" applyProtection="1">
      <alignment vertical="center"/>
      <protection hidden="1"/>
    </xf>
    <xf numFmtId="0" fontId="38" fillId="0" borderId="0" xfId="16" applyFont="1" applyAlignment="1" applyProtection="1">
      <alignment horizontal="right" vertical="top"/>
      <protection hidden="1"/>
    </xf>
    <xf numFmtId="0" fontId="38" fillId="0" borderId="0" xfId="16" applyFont="1" applyAlignment="1" applyProtection="1">
      <alignment horizontal="left" vertical="top"/>
      <protection hidden="1"/>
    </xf>
    <xf numFmtId="0" fontId="43" fillId="0" borderId="0" xfId="16" applyFont="1" applyAlignment="1" applyProtection="1">
      <alignment vertical="center"/>
      <protection hidden="1"/>
    </xf>
    <xf numFmtId="0" fontId="38" fillId="0" borderId="0" xfId="3" applyFont="1" applyProtection="1">
      <protection hidden="1"/>
    </xf>
    <xf numFmtId="0" fontId="44" fillId="0" borderId="0" xfId="17" applyFont="1"/>
    <xf numFmtId="0" fontId="37" fillId="0" borderId="0" xfId="16" applyFont="1" applyAlignment="1" applyProtection="1">
      <alignment vertical="top"/>
      <protection hidden="1"/>
    </xf>
    <xf numFmtId="0" fontId="37" fillId="3" borderId="17" xfId="16" applyFont="1" applyFill="1" applyBorder="1" applyAlignment="1" applyProtection="1">
      <alignment horizontal="center" vertical="center" wrapText="1"/>
      <protection hidden="1"/>
    </xf>
    <xf numFmtId="0" fontId="37" fillId="3" borderId="18" xfId="16" applyFont="1" applyFill="1" applyBorder="1" applyAlignment="1" applyProtection="1">
      <alignment horizontal="center" vertical="center" wrapText="1"/>
      <protection hidden="1"/>
    </xf>
    <xf numFmtId="0" fontId="37" fillId="3" borderId="19" xfId="16" applyFont="1" applyFill="1" applyBorder="1" applyAlignment="1" applyProtection="1">
      <alignment horizontal="center" vertical="center" wrapText="1"/>
      <protection hidden="1"/>
    </xf>
    <xf numFmtId="0" fontId="37" fillId="3" borderId="24" xfId="16" applyFont="1" applyFill="1" applyBorder="1" applyAlignment="1" applyProtection="1">
      <alignment horizontal="center" vertical="center" wrapText="1"/>
      <protection hidden="1"/>
    </xf>
    <xf numFmtId="0" fontId="37" fillId="3" borderId="32" xfId="16" applyFont="1" applyFill="1" applyBorder="1" applyAlignment="1" applyProtection="1">
      <alignment horizontal="center" vertical="center" wrapText="1"/>
      <protection hidden="1"/>
    </xf>
    <xf numFmtId="0" fontId="38" fillId="3" borderId="19" xfId="16" applyFont="1" applyFill="1" applyBorder="1" applyAlignment="1" applyProtection="1">
      <alignment horizontal="center" vertical="center"/>
      <protection hidden="1"/>
    </xf>
    <xf numFmtId="0" fontId="37" fillId="3" borderId="33" xfId="16" applyFont="1" applyFill="1" applyBorder="1" applyAlignment="1" applyProtection="1">
      <alignment horizontal="center" vertical="center" wrapText="1"/>
      <protection hidden="1"/>
    </xf>
    <xf numFmtId="169" fontId="38" fillId="0" borderId="52" xfId="16" applyNumberFormat="1" applyFont="1" applyBorder="1" applyAlignment="1" applyProtection="1">
      <alignment horizontal="right" vertical="center" wrapText="1"/>
      <protection hidden="1"/>
    </xf>
    <xf numFmtId="44" fontId="38" fillId="0" borderId="57" xfId="16" applyNumberFormat="1" applyFont="1" applyBorder="1" applyAlignment="1" applyProtection="1">
      <alignment horizontal="right" vertical="center" wrapText="1"/>
      <protection hidden="1"/>
    </xf>
    <xf numFmtId="10" fontId="38" fillId="0" borderId="58" xfId="16" applyNumberFormat="1" applyFont="1" applyBorder="1" applyAlignment="1" applyProtection="1">
      <alignment horizontal="right" vertical="center" wrapText="1"/>
      <protection hidden="1"/>
    </xf>
    <xf numFmtId="169" fontId="38" fillId="0" borderId="55" xfId="16" applyNumberFormat="1" applyFont="1" applyBorder="1" applyAlignment="1" applyProtection="1">
      <alignment horizontal="right" vertical="center" wrapText="1"/>
      <protection hidden="1"/>
    </xf>
    <xf numFmtId="10" fontId="38" fillId="0" borderId="54" xfId="16" applyNumberFormat="1" applyFont="1" applyBorder="1" applyAlignment="1" applyProtection="1">
      <alignment horizontal="right" vertical="center" wrapText="1"/>
      <protection hidden="1"/>
    </xf>
    <xf numFmtId="169" fontId="38" fillId="0" borderId="52" xfId="16" applyNumberFormat="1" applyFont="1" applyBorder="1" applyAlignment="1" applyProtection="1">
      <alignment horizontal="right" vertical="center"/>
      <protection hidden="1"/>
    </xf>
    <xf numFmtId="3" fontId="37" fillId="19" borderId="55" xfId="16" applyNumberFormat="1" applyFont="1" applyFill="1" applyBorder="1" applyAlignment="1" applyProtection="1">
      <alignment horizontal="center" vertical="center" wrapText="1"/>
      <protection hidden="1"/>
    </xf>
    <xf numFmtId="44" fontId="37" fillId="19" borderId="57" xfId="16" applyNumberFormat="1" applyFont="1" applyFill="1" applyBorder="1" applyAlignment="1" applyProtection="1">
      <alignment horizontal="center" vertical="center" wrapText="1"/>
      <protection hidden="1"/>
    </xf>
    <xf numFmtId="0" fontId="38" fillId="19" borderId="58" xfId="16" applyFont="1" applyFill="1" applyBorder="1" applyAlignment="1" applyProtection="1">
      <alignment horizontal="center" vertical="center"/>
      <protection hidden="1"/>
    </xf>
    <xf numFmtId="0" fontId="37" fillId="3" borderId="37" xfId="16" applyFont="1" applyFill="1" applyBorder="1" applyAlignment="1" applyProtection="1">
      <alignment horizontal="center" vertical="center"/>
      <protection hidden="1"/>
    </xf>
    <xf numFmtId="169" fontId="38" fillId="0" borderId="15" xfId="16" applyNumberFormat="1" applyFont="1" applyBorder="1" applyAlignment="1" applyProtection="1">
      <alignment horizontal="right" vertical="center" wrapText="1"/>
      <protection hidden="1"/>
    </xf>
    <xf numFmtId="44" fontId="38" fillId="0" borderId="1" xfId="16" applyNumberFormat="1" applyFont="1" applyBorder="1" applyAlignment="1" applyProtection="1">
      <alignment horizontal="right" vertical="center" wrapText="1"/>
      <protection hidden="1"/>
    </xf>
    <xf numFmtId="10" fontId="38" fillId="0" borderId="14" xfId="16" applyNumberFormat="1" applyFont="1" applyBorder="1" applyAlignment="1" applyProtection="1">
      <alignment horizontal="right" vertical="center" wrapText="1"/>
      <protection hidden="1"/>
    </xf>
    <xf numFmtId="169" fontId="38" fillId="0" borderId="7" xfId="16" applyNumberFormat="1" applyFont="1" applyBorder="1" applyAlignment="1" applyProtection="1">
      <alignment horizontal="right" vertical="center" wrapText="1"/>
      <protection hidden="1"/>
    </xf>
    <xf numFmtId="10" fontId="38" fillId="0" borderId="6" xfId="16" applyNumberFormat="1" applyFont="1" applyBorder="1" applyAlignment="1" applyProtection="1">
      <alignment horizontal="right" vertical="center" wrapText="1"/>
      <protection hidden="1"/>
    </xf>
    <xf numFmtId="3" fontId="38" fillId="0" borderId="15" xfId="16" applyNumberFormat="1" applyFont="1" applyBorder="1" applyAlignment="1" applyProtection="1">
      <alignment horizontal="right" vertical="center"/>
      <protection hidden="1"/>
    </xf>
    <xf numFmtId="0" fontId="37" fillId="3" borderId="59" xfId="16" applyFont="1" applyFill="1" applyBorder="1" applyAlignment="1" applyProtection="1">
      <alignment horizontal="center" vertical="center"/>
      <protection hidden="1"/>
    </xf>
    <xf numFmtId="0" fontId="38" fillId="0" borderId="44" xfId="16" applyFont="1" applyBorder="1" applyAlignment="1" applyProtection="1">
      <alignment horizontal="right" vertical="center" wrapText="1"/>
      <protection hidden="1"/>
    </xf>
    <xf numFmtId="44" fontId="38" fillId="0" borderId="42" xfId="16" applyNumberFormat="1" applyFont="1" applyBorder="1" applyAlignment="1" applyProtection="1">
      <alignment horizontal="right" vertical="center" wrapText="1"/>
      <protection hidden="1"/>
    </xf>
    <xf numFmtId="10" fontId="38" fillId="0" borderId="43" xfId="16" applyNumberFormat="1" applyFont="1" applyBorder="1" applyAlignment="1" applyProtection="1">
      <alignment horizontal="right" vertical="center" wrapText="1"/>
      <protection hidden="1"/>
    </xf>
    <xf numFmtId="0" fontId="38" fillId="0" borderId="3" xfId="16" applyFont="1" applyBorder="1" applyAlignment="1" applyProtection="1">
      <alignment horizontal="right" vertical="center" wrapText="1"/>
      <protection hidden="1"/>
    </xf>
    <xf numFmtId="10" fontId="38" fillId="0" borderId="2" xfId="16" applyNumberFormat="1" applyFont="1" applyBorder="1" applyAlignment="1" applyProtection="1">
      <alignment horizontal="right" vertical="center" wrapText="1"/>
      <protection hidden="1"/>
    </xf>
    <xf numFmtId="0" fontId="38" fillId="0" borderId="44" xfId="16" applyFont="1" applyBorder="1" applyAlignment="1" applyProtection="1">
      <alignment horizontal="right" vertical="center"/>
      <protection hidden="1"/>
    </xf>
    <xf numFmtId="0" fontId="45" fillId="20" borderId="20" xfId="16" applyFont="1" applyFill="1" applyBorder="1" applyAlignment="1" applyProtection="1">
      <alignment horizontal="center" vertical="center"/>
      <protection hidden="1"/>
    </xf>
    <xf numFmtId="169" fontId="37" fillId="20" borderId="41" xfId="16" applyNumberFormat="1" applyFont="1" applyFill="1" applyBorder="1" applyAlignment="1" applyProtection="1">
      <alignment horizontal="right" vertical="center" wrapText="1"/>
      <protection hidden="1"/>
    </xf>
    <xf numFmtId="44" fontId="37" fillId="20" borderId="40" xfId="16" applyNumberFormat="1" applyFont="1" applyFill="1" applyBorder="1" applyAlignment="1" applyProtection="1">
      <alignment horizontal="right" vertical="center" wrapText="1"/>
      <protection hidden="1"/>
    </xf>
    <xf numFmtId="10" fontId="37" fillId="20" borderId="22" xfId="16" applyNumberFormat="1" applyFont="1" applyFill="1" applyBorder="1" applyAlignment="1" applyProtection="1">
      <alignment horizontal="right" vertical="center" wrapText="1"/>
      <protection hidden="1"/>
    </xf>
    <xf numFmtId="169" fontId="37" fillId="20" borderId="21" xfId="16" applyNumberFormat="1" applyFont="1" applyFill="1" applyBorder="1" applyAlignment="1" applyProtection="1">
      <alignment horizontal="right" vertical="center" wrapText="1"/>
      <protection hidden="1"/>
    </xf>
    <xf numFmtId="10" fontId="37" fillId="20" borderId="60" xfId="16" applyNumberFormat="1" applyFont="1" applyFill="1" applyBorder="1" applyAlignment="1" applyProtection="1">
      <alignment horizontal="right" vertical="center" wrapText="1"/>
      <protection hidden="1"/>
    </xf>
    <xf numFmtId="169" fontId="37" fillId="20" borderId="41" xfId="16" applyNumberFormat="1" applyFont="1" applyFill="1" applyBorder="1" applyAlignment="1" applyProtection="1">
      <alignment horizontal="right" vertical="center"/>
      <protection hidden="1"/>
    </xf>
    <xf numFmtId="3" fontId="37" fillId="20" borderId="21" xfId="16" applyNumberFormat="1" applyFont="1" applyFill="1" applyBorder="1" applyAlignment="1" applyProtection="1">
      <alignment horizontal="center" vertical="center" wrapText="1"/>
      <protection hidden="1"/>
    </xf>
    <xf numFmtId="44" fontId="37" fillId="20" borderId="40" xfId="16" applyNumberFormat="1" applyFont="1" applyFill="1" applyBorder="1" applyAlignment="1" applyProtection="1">
      <alignment horizontal="center" vertical="center" wrapText="1"/>
      <protection hidden="1"/>
    </xf>
    <xf numFmtId="0" fontId="37" fillId="20" borderId="22" xfId="16" applyFont="1" applyFill="1" applyBorder="1" applyAlignment="1" applyProtection="1">
      <alignment horizontal="center" vertical="center"/>
      <protection hidden="1"/>
    </xf>
    <xf numFmtId="0" fontId="43" fillId="5" borderId="20" xfId="16" applyFont="1" applyFill="1" applyBorder="1" applyAlignment="1" applyProtection="1">
      <alignment vertical="center"/>
      <protection hidden="1"/>
    </xf>
    <xf numFmtId="0" fontId="43" fillId="5" borderId="61" xfId="16" applyFont="1" applyFill="1" applyBorder="1" applyAlignment="1" applyProtection="1">
      <alignment vertical="center"/>
      <protection hidden="1"/>
    </xf>
    <xf numFmtId="0" fontId="43" fillId="5" borderId="62" xfId="16" applyFont="1" applyFill="1" applyBorder="1" applyAlignment="1" applyProtection="1">
      <alignment vertical="center"/>
      <protection hidden="1"/>
    </xf>
    <xf numFmtId="0" fontId="21" fillId="0" borderId="15" xfId="0" applyFont="1" applyBorder="1" applyAlignment="1">
      <alignment vertical="center"/>
    </xf>
    <xf numFmtId="3" fontId="5" fillId="0" borderId="14" xfId="18" applyFill="1" applyBorder="1">
      <alignment horizontal="center" vertical="center"/>
    </xf>
    <xf numFmtId="3" fontId="5" fillId="18" borderId="14" xfId="18" applyFill="1" applyBorder="1" applyProtection="1">
      <alignment horizontal="center" vertical="center"/>
      <protection locked="0"/>
    </xf>
    <xf numFmtId="170" fontId="37" fillId="0" borderId="1" xfId="19" applyNumberFormat="1" applyFont="1" applyFill="1" applyBorder="1" applyAlignment="1" applyProtection="1">
      <alignment horizontal="left" vertical="center"/>
      <protection hidden="1"/>
    </xf>
    <xf numFmtId="0" fontId="37" fillId="0" borderId="0" xfId="16" applyFont="1" applyAlignment="1" applyProtection="1">
      <alignment horizontal="left" vertical="center"/>
      <protection hidden="1"/>
    </xf>
    <xf numFmtId="0" fontId="37" fillId="0" borderId="0" xfId="16" applyFont="1" applyAlignment="1" applyProtection="1">
      <alignment vertical="center"/>
      <protection hidden="1"/>
    </xf>
    <xf numFmtId="0" fontId="15" fillId="0" borderId="17" xfId="0" applyFont="1" applyBorder="1" applyAlignment="1">
      <alignment vertical="center"/>
    </xf>
    <xf numFmtId="0" fontId="15" fillId="0" borderId="18" xfId="0" applyFont="1" applyBorder="1" applyAlignment="1">
      <alignment horizontal="center" vertical="center"/>
    </xf>
    <xf numFmtId="168" fontId="15" fillId="0" borderId="19" xfId="20" applyFont="1" applyFill="1" applyBorder="1">
      <alignment horizontal="center" vertical="center"/>
    </xf>
    <xf numFmtId="0" fontId="11" fillId="0" borderId="50" xfId="17" applyBorder="1"/>
    <xf numFmtId="0" fontId="45" fillId="21" borderId="63" xfId="16" applyFont="1" applyFill="1" applyBorder="1" applyAlignment="1" applyProtection="1">
      <alignment vertical="center"/>
      <protection hidden="1"/>
    </xf>
    <xf numFmtId="0" fontId="45" fillId="21" borderId="61" xfId="16" applyFont="1" applyFill="1" applyBorder="1" applyAlignment="1" applyProtection="1">
      <alignment vertical="center"/>
      <protection hidden="1"/>
    </xf>
    <xf numFmtId="0" fontId="45" fillId="21" borderId="62" xfId="16" applyFont="1" applyFill="1" applyBorder="1" applyAlignment="1" applyProtection="1">
      <alignment vertical="center"/>
      <protection hidden="1"/>
    </xf>
    <xf numFmtId="0" fontId="46" fillId="3" borderId="34" xfId="16" applyFont="1" applyFill="1" applyBorder="1" applyAlignment="1" applyProtection="1">
      <alignment horizontal="center" vertical="center" wrapText="1"/>
      <protection hidden="1"/>
    </xf>
    <xf numFmtId="0" fontId="46" fillId="23" borderId="13" xfId="16" applyFont="1" applyFill="1" applyBorder="1" applyAlignment="1" applyProtection="1">
      <alignment horizontal="center" vertical="center" wrapText="1"/>
      <protection hidden="1"/>
    </xf>
    <xf numFmtId="0" fontId="46" fillId="23" borderId="6" xfId="16" applyFont="1" applyFill="1" applyBorder="1" applyAlignment="1" applyProtection="1">
      <alignment horizontal="center" vertical="center" wrapText="1"/>
      <protection hidden="1"/>
    </xf>
    <xf numFmtId="0" fontId="46" fillId="24" borderId="6" xfId="16" applyFont="1" applyFill="1" applyBorder="1" applyAlignment="1" applyProtection="1">
      <alignment horizontal="center" vertical="center" wrapText="1"/>
      <protection hidden="1"/>
    </xf>
    <xf numFmtId="0" fontId="46" fillId="3" borderId="53" xfId="16" applyFont="1" applyFill="1" applyBorder="1" applyAlignment="1" applyProtection="1">
      <alignment horizontal="center" vertical="center" wrapText="1"/>
      <protection hidden="1"/>
    </xf>
    <xf numFmtId="0" fontId="46" fillId="3" borderId="17" xfId="16" applyFont="1" applyFill="1" applyBorder="1" applyAlignment="1" applyProtection="1">
      <alignment horizontal="center" vertical="center" wrapText="1"/>
      <protection hidden="1"/>
    </xf>
    <xf numFmtId="0" fontId="46" fillId="3" borderId="18" xfId="16" applyFont="1" applyFill="1" applyBorder="1" applyAlignment="1" applyProtection="1">
      <alignment horizontal="center" vertical="center" wrapText="1"/>
      <protection hidden="1"/>
    </xf>
    <xf numFmtId="0" fontId="37" fillId="19" borderId="7" xfId="16" applyFont="1" applyFill="1" applyBorder="1" applyAlignment="1" applyProtection="1">
      <alignment horizontal="center" vertical="center" wrapText="1"/>
      <protection hidden="1"/>
    </xf>
    <xf numFmtId="172" fontId="38" fillId="18" borderId="52" xfId="19" applyNumberFormat="1" applyFont="1" applyFill="1" applyBorder="1" applyAlignment="1" applyProtection="1">
      <alignment vertical="center"/>
      <protection hidden="1"/>
    </xf>
    <xf numFmtId="172" fontId="38" fillId="18" borderId="57" xfId="19" applyNumberFormat="1" applyFont="1" applyFill="1" applyBorder="1" applyAlignment="1" applyProtection="1">
      <alignment vertical="center"/>
      <protection hidden="1"/>
    </xf>
    <xf numFmtId="44" fontId="38" fillId="15" borderId="58" xfId="21" applyFont="1" applyFill="1" applyBorder="1" applyAlignment="1" applyProtection="1">
      <alignment horizontal="center" vertical="center"/>
      <protection hidden="1"/>
    </xf>
    <xf numFmtId="0" fontId="38" fillId="0" borderId="0" xfId="3" applyFont="1" applyAlignment="1" applyProtection="1">
      <alignment horizontal="center" vertical="center"/>
      <protection hidden="1"/>
    </xf>
    <xf numFmtId="172" fontId="37" fillId="20" borderId="73" xfId="19" applyNumberFormat="1" applyFont="1" applyFill="1" applyBorder="1" applyAlignment="1" applyProtection="1">
      <alignment horizontal="right" vertical="center"/>
      <protection hidden="1"/>
    </xf>
    <xf numFmtId="44" fontId="37" fillId="20" borderId="72" xfId="21" applyFont="1" applyFill="1" applyBorder="1" applyAlignment="1" applyProtection="1">
      <alignment horizontal="center" vertical="center"/>
      <protection hidden="1"/>
    </xf>
    <xf numFmtId="172" fontId="37" fillId="18" borderId="72" xfId="19" applyNumberFormat="1" applyFont="1" applyFill="1" applyBorder="1" applyAlignment="1" applyProtection="1">
      <alignment horizontal="right" vertical="center"/>
      <protection hidden="1"/>
    </xf>
    <xf numFmtId="3" fontId="37" fillId="20" borderId="72" xfId="16" applyNumberFormat="1" applyFont="1" applyFill="1" applyBorder="1" applyAlignment="1" applyProtection="1">
      <alignment horizontal="center" vertical="center"/>
      <protection hidden="1"/>
    </xf>
    <xf numFmtId="171" fontId="37" fillId="20" borderId="74" xfId="16" applyNumberFormat="1" applyFont="1" applyFill="1" applyBorder="1" applyAlignment="1" applyProtection="1">
      <alignment horizontal="center" vertical="center"/>
      <protection hidden="1"/>
    </xf>
    <xf numFmtId="0" fontId="46" fillId="3" borderId="10" xfId="16" applyFont="1" applyFill="1" applyBorder="1" applyAlignment="1" applyProtection="1">
      <alignment horizontal="center" vertical="center" wrapText="1"/>
      <protection hidden="1"/>
    </xf>
    <xf numFmtId="0" fontId="46" fillId="3" borderId="26" xfId="16" applyFont="1" applyFill="1" applyBorder="1" applyAlignment="1" applyProtection="1">
      <alignment horizontal="center" vertical="center" wrapText="1"/>
      <protection hidden="1"/>
    </xf>
    <xf numFmtId="0" fontId="46" fillId="3" borderId="31" xfId="16" applyFont="1" applyFill="1" applyBorder="1" applyAlignment="1" applyProtection="1">
      <alignment horizontal="center" vertical="center" wrapText="1"/>
      <protection hidden="1"/>
    </xf>
    <xf numFmtId="0" fontId="46" fillId="3" borderId="25" xfId="16" applyFont="1" applyFill="1" applyBorder="1" applyAlignment="1" applyProtection="1">
      <alignment horizontal="center" vertical="center" wrapText="1"/>
      <protection hidden="1"/>
    </xf>
    <xf numFmtId="0" fontId="46" fillId="3" borderId="27" xfId="16" applyFont="1" applyFill="1" applyBorder="1" applyAlignment="1" applyProtection="1">
      <alignment horizontal="center" vertical="center" wrapText="1"/>
      <protection hidden="1"/>
    </xf>
    <xf numFmtId="0" fontId="46" fillId="3" borderId="11" xfId="16" applyFont="1" applyFill="1" applyBorder="1" applyAlignment="1" applyProtection="1">
      <alignment horizontal="center" vertical="center" wrapText="1"/>
      <protection hidden="1"/>
    </xf>
    <xf numFmtId="0" fontId="46" fillId="27" borderId="33" xfId="16" applyFont="1" applyFill="1" applyBorder="1" applyAlignment="1" applyProtection="1">
      <alignment horizontal="center" vertical="center" wrapText="1"/>
      <protection hidden="1"/>
    </xf>
    <xf numFmtId="0" fontId="46" fillId="3" borderId="44" xfId="16" applyFont="1" applyFill="1" applyBorder="1" applyAlignment="1" applyProtection="1">
      <alignment horizontal="center" vertical="center" wrapText="1"/>
      <protection hidden="1"/>
    </xf>
    <xf numFmtId="0" fontId="46" fillId="3" borderId="42" xfId="16" applyFont="1" applyFill="1" applyBorder="1" applyAlignment="1" applyProtection="1">
      <alignment horizontal="center" vertical="center" wrapText="1"/>
      <protection hidden="1"/>
    </xf>
    <xf numFmtId="0" fontId="46" fillId="3" borderId="19" xfId="16" applyFont="1" applyFill="1" applyBorder="1" applyAlignment="1" applyProtection="1">
      <alignment horizontal="center" vertical="center" wrapText="1"/>
      <protection hidden="1"/>
    </xf>
    <xf numFmtId="0" fontId="46" fillId="27" borderId="38" xfId="16" applyFont="1" applyFill="1" applyBorder="1" applyAlignment="1" applyProtection="1">
      <alignment horizontal="center" vertical="center" wrapText="1"/>
      <protection hidden="1"/>
    </xf>
    <xf numFmtId="0" fontId="11" fillId="0" borderId="0" xfId="17" applyAlignment="1">
      <alignment wrapText="1"/>
    </xf>
    <xf numFmtId="0" fontId="38" fillId="0" borderId="0" xfId="3" applyFont="1" applyAlignment="1" applyProtection="1">
      <alignment wrapText="1"/>
      <protection hidden="1"/>
    </xf>
    <xf numFmtId="44" fontId="38" fillId="0" borderId="27" xfId="21" applyFont="1" applyFill="1" applyBorder="1" applyAlignment="1" applyProtection="1">
      <alignment vertical="center"/>
      <protection hidden="1"/>
    </xf>
    <xf numFmtId="44" fontId="38" fillId="0" borderId="33" xfId="21" applyFont="1" applyBorder="1" applyAlignment="1" applyProtection="1">
      <alignment vertical="center"/>
      <protection hidden="1"/>
    </xf>
    <xf numFmtId="172" fontId="11" fillId="0" borderId="0" xfId="17" applyNumberFormat="1"/>
    <xf numFmtId="172" fontId="48" fillId="0" borderId="0" xfId="3" applyNumberFormat="1" applyFont="1" applyProtection="1">
      <protection hidden="1"/>
    </xf>
    <xf numFmtId="172" fontId="38" fillId="0" borderId="0" xfId="3" applyNumberFormat="1" applyFont="1" applyProtection="1">
      <protection hidden="1"/>
    </xf>
    <xf numFmtId="171" fontId="44" fillId="0" borderId="0" xfId="17" applyNumberFormat="1" applyFont="1"/>
    <xf numFmtId="44" fontId="38" fillId="0" borderId="58" xfId="21" applyFont="1" applyFill="1" applyBorder="1" applyAlignment="1" applyProtection="1">
      <alignment vertical="center"/>
      <protection hidden="1"/>
    </xf>
    <xf numFmtId="44" fontId="38" fillId="0" borderId="35" xfId="21" applyFont="1" applyBorder="1" applyAlignment="1" applyProtection="1">
      <alignment vertical="center"/>
      <protection hidden="1"/>
    </xf>
    <xf numFmtId="44" fontId="38" fillId="0" borderId="34" xfId="21" applyFont="1" applyBorder="1" applyAlignment="1" applyProtection="1">
      <alignment vertical="center"/>
      <protection hidden="1"/>
    </xf>
    <xf numFmtId="0" fontId="48" fillId="0" borderId="0" xfId="3" applyFont="1" applyProtection="1">
      <protection hidden="1"/>
    </xf>
    <xf numFmtId="44" fontId="37" fillId="20" borderId="41" xfId="21" applyFont="1" applyFill="1" applyBorder="1" applyAlignment="1" applyProtection="1">
      <alignment horizontal="center" vertical="center"/>
      <protection hidden="1"/>
    </xf>
    <xf numFmtId="44" fontId="37" fillId="20" borderId="9" xfId="21" applyFont="1" applyFill="1" applyBorder="1" applyAlignment="1" applyProtection="1">
      <alignment vertical="center"/>
      <protection hidden="1"/>
    </xf>
    <xf numFmtId="175" fontId="37" fillId="0" borderId="0" xfId="16" applyNumberFormat="1" applyFont="1" applyAlignment="1" applyProtection="1">
      <alignment horizontal="left" vertical="top" wrapText="1"/>
      <protection hidden="1"/>
    </xf>
    <xf numFmtId="0" fontId="45" fillId="21" borderId="20" xfId="16" applyFont="1" applyFill="1" applyBorder="1" applyAlignment="1" applyProtection="1">
      <alignment vertical="center"/>
      <protection hidden="1"/>
    </xf>
    <xf numFmtId="0" fontId="46" fillId="3" borderId="76" xfId="16" applyFont="1" applyFill="1" applyBorder="1" applyAlignment="1" applyProtection="1">
      <alignment horizontal="center" vertical="center" wrapText="1"/>
      <protection hidden="1"/>
    </xf>
    <xf numFmtId="0" fontId="46" fillId="3" borderId="6" xfId="16" applyFont="1" applyFill="1" applyBorder="1" applyAlignment="1" applyProtection="1">
      <alignment horizontal="center" vertical="center" wrapText="1"/>
      <protection hidden="1"/>
    </xf>
    <xf numFmtId="0" fontId="38" fillId="19" borderId="15" xfId="16" applyFont="1" applyFill="1" applyBorder="1" applyAlignment="1" applyProtection="1">
      <alignment horizontal="center" vertical="center" wrapText="1"/>
      <protection hidden="1"/>
    </xf>
    <xf numFmtId="0" fontId="49" fillId="19" borderId="6" xfId="16" applyFont="1" applyFill="1" applyBorder="1" applyAlignment="1" applyProtection="1">
      <alignment horizontal="center" vertical="center" wrapText="1"/>
      <protection hidden="1"/>
    </xf>
    <xf numFmtId="170" fontId="48" fillId="18" borderId="6" xfId="19" applyNumberFormat="1" applyFont="1" applyFill="1" applyBorder="1" applyAlignment="1" applyProtection="1">
      <alignment vertical="center" wrapText="1"/>
      <protection hidden="1"/>
    </xf>
    <xf numFmtId="172" fontId="38" fillId="0" borderId="25" xfId="19" applyNumberFormat="1" applyFont="1" applyFill="1" applyBorder="1" applyAlignment="1" applyProtection="1">
      <alignment vertical="center"/>
      <protection hidden="1"/>
    </xf>
    <xf numFmtId="172" fontId="38" fillId="0" borderId="26" xfId="19" applyNumberFormat="1" applyFont="1" applyFill="1" applyBorder="1" applyAlignment="1" applyProtection="1">
      <alignment vertical="center"/>
      <protection hidden="1"/>
    </xf>
    <xf numFmtId="44" fontId="38" fillId="15" borderId="27" xfId="21" applyFont="1" applyFill="1" applyBorder="1" applyAlignment="1" applyProtection="1">
      <alignment horizontal="center" vertical="center"/>
      <protection hidden="1"/>
    </xf>
    <xf numFmtId="172" fontId="38" fillId="0" borderId="57" xfId="19" applyNumberFormat="1" applyFont="1" applyFill="1" applyBorder="1" applyAlignment="1" applyProtection="1">
      <alignment vertical="center"/>
      <protection hidden="1"/>
    </xf>
    <xf numFmtId="44" fontId="38" fillId="15" borderId="74" xfId="21" applyFont="1" applyFill="1" applyBorder="1" applyAlignment="1" applyProtection="1">
      <alignment horizontal="center" vertical="center"/>
      <protection hidden="1"/>
    </xf>
    <xf numFmtId="172" fontId="37" fillId="20" borderId="72" xfId="19" applyNumberFormat="1" applyFont="1" applyFill="1" applyBorder="1" applyAlignment="1" applyProtection="1">
      <alignment horizontal="right" vertical="center"/>
      <protection hidden="1"/>
    </xf>
    <xf numFmtId="0" fontId="46" fillId="3" borderId="12" xfId="16" applyFont="1" applyFill="1" applyBorder="1" applyAlignment="1" applyProtection="1">
      <alignment horizontal="center" vertical="center" wrapText="1"/>
      <protection hidden="1"/>
    </xf>
    <xf numFmtId="0" fontId="46" fillId="3" borderId="28" xfId="16" applyFont="1" applyFill="1" applyBorder="1" applyAlignment="1" applyProtection="1">
      <alignment horizontal="center" vertical="center" wrapText="1"/>
      <protection hidden="1"/>
    </xf>
    <xf numFmtId="0" fontId="46" fillId="3" borderId="74" xfId="16" applyFont="1" applyFill="1" applyBorder="1" applyAlignment="1" applyProtection="1">
      <alignment horizontal="center" vertical="center" wrapText="1"/>
      <protection hidden="1"/>
    </xf>
    <xf numFmtId="0" fontId="46" fillId="3" borderId="79" xfId="16" applyFont="1" applyFill="1" applyBorder="1" applyAlignment="1" applyProtection="1">
      <alignment horizontal="center" vertical="center" wrapText="1"/>
      <protection hidden="1"/>
    </xf>
    <xf numFmtId="0" fontId="46" fillId="3" borderId="24" xfId="16" applyFont="1" applyFill="1" applyBorder="1" applyAlignment="1" applyProtection="1">
      <alignment horizontal="center" vertical="center" wrapText="1"/>
      <protection hidden="1"/>
    </xf>
    <xf numFmtId="170" fontId="38" fillId="0" borderId="6" xfId="19" applyNumberFormat="1" applyFont="1" applyFill="1" applyBorder="1" applyAlignment="1" applyProtection="1">
      <alignment horizontal="center" vertical="center" wrapText="1"/>
      <protection hidden="1"/>
    </xf>
    <xf numFmtId="171" fontId="38" fillId="0" borderId="12" xfId="3" applyNumberFormat="1" applyFont="1" applyBorder="1" applyAlignment="1" applyProtection="1">
      <alignment vertical="center"/>
      <protection hidden="1"/>
    </xf>
    <xf numFmtId="44" fontId="38" fillId="0" borderId="14" xfId="21" applyFont="1" applyFill="1" applyBorder="1" applyAlignment="1" applyProtection="1">
      <alignment vertical="center"/>
      <protection hidden="1"/>
    </xf>
    <xf numFmtId="171" fontId="38" fillId="0" borderId="16" xfId="3" applyNumberFormat="1" applyFont="1" applyBorder="1" applyAlignment="1" applyProtection="1">
      <alignment vertical="center"/>
      <protection hidden="1"/>
    </xf>
    <xf numFmtId="0" fontId="36" fillId="19" borderId="6" xfId="16" applyFont="1" applyFill="1" applyBorder="1" applyAlignment="1" applyProtection="1">
      <alignment horizontal="center" vertical="center" wrapText="1"/>
      <protection hidden="1"/>
    </xf>
    <xf numFmtId="3" fontId="38" fillId="0" borderId="72" xfId="3" applyNumberFormat="1" applyFont="1" applyBorder="1" applyAlignment="1" applyProtection="1">
      <alignment vertical="center"/>
      <protection hidden="1"/>
    </xf>
    <xf numFmtId="171" fontId="38" fillId="0" borderId="30" xfId="3" applyNumberFormat="1" applyFont="1" applyBorder="1" applyAlignment="1" applyProtection="1">
      <alignment vertical="center"/>
      <protection hidden="1"/>
    </xf>
    <xf numFmtId="171" fontId="37" fillId="20" borderId="41" xfId="16" applyNumberFormat="1" applyFont="1" applyFill="1" applyBorder="1" applyAlignment="1" applyProtection="1">
      <alignment horizontal="center" vertical="center"/>
      <protection hidden="1"/>
    </xf>
    <xf numFmtId="3" fontId="37" fillId="20" borderId="21" xfId="16" applyNumberFormat="1" applyFont="1" applyFill="1" applyBorder="1" applyAlignment="1" applyProtection="1">
      <alignment horizontal="right" vertical="center"/>
      <protection hidden="1"/>
    </xf>
    <xf numFmtId="44" fontId="37" fillId="20" borderId="22" xfId="21" applyFont="1" applyFill="1" applyBorder="1" applyAlignment="1" applyProtection="1">
      <alignment horizontal="right" vertical="center"/>
      <protection hidden="1"/>
    </xf>
    <xf numFmtId="172" fontId="37" fillId="0" borderId="0" xfId="16" applyNumberFormat="1" applyFont="1" applyAlignment="1" applyProtection="1">
      <alignment horizontal="left" vertical="top" wrapText="1"/>
      <protection hidden="1"/>
    </xf>
    <xf numFmtId="0" fontId="36" fillId="0" borderId="0" xfId="16" applyFont="1" applyAlignment="1" applyProtection="1">
      <alignment horizontal="left" vertical="center"/>
      <protection hidden="1"/>
    </xf>
    <xf numFmtId="0" fontId="50" fillId="0" borderId="0" xfId="16" applyFont="1" applyAlignment="1" applyProtection="1">
      <alignment horizontal="left" vertical="center" wrapText="1"/>
      <protection hidden="1"/>
    </xf>
    <xf numFmtId="0" fontId="38" fillId="0" borderId="1" xfId="3" applyFont="1" applyBorder="1" applyAlignment="1" applyProtection="1">
      <alignment horizontal="left" vertical="center"/>
      <protection hidden="1"/>
    </xf>
    <xf numFmtId="0" fontId="44" fillId="0" borderId="1" xfId="17" applyFont="1" applyBorder="1" applyAlignment="1">
      <alignment horizontal="center" vertical="center"/>
    </xf>
    <xf numFmtId="0" fontId="36" fillId="11" borderId="55" xfId="16" applyFont="1" applyFill="1" applyBorder="1" applyAlignment="1" applyProtection="1">
      <alignment horizontal="center" vertical="center" wrapText="1"/>
      <protection hidden="1"/>
    </xf>
    <xf numFmtId="0" fontId="36" fillId="22" borderId="58" xfId="16" applyFont="1" applyFill="1" applyBorder="1" applyAlignment="1" applyProtection="1">
      <alignment horizontal="center" vertical="center" wrapText="1"/>
      <protection hidden="1"/>
    </xf>
    <xf numFmtId="0" fontId="11" fillId="0" borderId="1" xfId="17" applyBorder="1" applyAlignment="1">
      <alignment horizontal="center" vertical="center"/>
    </xf>
    <xf numFmtId="0" fontId="36" fillId="11" borderId="30" xfId="16" applyFont="1" applyFill="1" applyBorder="1" applyAlignment="1" applyProtection="1">
      <alignment horizontal="center" vertical="center" wrapText="1"/>
      <protection hidden="1"/>
    </xf>
    <xf numFmtId="0" fontId="36" fillId="22" borderId="74" xfId="16" applyFont="1" applyFill="1" applyBorder="1" applyAlignment="1" applyProtection="1">
      <alignment horizontal="center" vertical="center" wrapText="1"/>
      <protection hidden="1"/>
    </xf>
    <xf numFmtId="0" fontId="46" fillId="3" borderId="36" xfId="16" applyFont="1" applyFill="1" applyBorder="1" applyAlignment="1" applyProtection="1">
      <alignment horizontal="center" vertical="center" wrapText="1"/>
      <protection hidden="1"/>
    </xf>
    <xf numFmtId="176" fontId="51" fillId="18" borderId="25" xfId="16" applyNumberFormat="1" applyFont="1" applyFill="1" applyBorder="1" applyAlignment="1" applyProtection="1">
      <alignment horizontal="center" vertical="center"/>
      <protection hidden="1"/>
    </xf>
    <xf numFmtId="3" fontId="44" fillId="0" borderId="1" xfId="17" applyNumberFormat="1" applyFont="1" applyBorder="1" applyAlignment="1">
      <alignment horizontal="center" vertical="center"/>
    </xf>
    <xf numFmtId="176" fontId="51" fillId="18" borderId="1" xfId="16" applyNumberFormat="1" applyFont="1" applyFill="1" applyBorder="1" applyAlignment="1" applyProtection="1">
      <alignment horizontal="center" vertical="center"/>
      <protection hidden="1"/>
    </xf>
    <xf numFmtId="172" fontId="36" fillId="0" borderId="0" xfId="16" applyNumberFormat="1" applyFont="1" applyAlignment="1" applyProtection="1">
      <alignment vertical="center"/>
      <protection hidden="1"/>
    </xf>
    <xf numFmtId="44" fontId="37" fillId="0" borderId="0" xfId="24" applyFont="1" applyFill="1" applyBorder="1" applyAlignment="1" applyProtection="1">
      <alignment horizontal="left" vertical="top" wrapText="1"/>
      <protection hidden="1"/>
    </xf>
    <xf numFmtId="177" fontId="37" fillId="0" borderId="0" xfId="16" applyNumberFormat="1" applyFont="1" applyAlignment="1" applyProtection="1">
      <alignment horizontal="left" vertical="top" wrapText="1"/>
      <protection hidden="1"/>
    </xf>
    <xf numFmtId="0" fontId="44" fillId="0" borderId="1" xfId="17" applyFont="1" applyBorder="1" applyAlignment="1">
      <alignment horizontal="center" vertical="center" wrapText="1"/>
    </xf>
    <xf numFmtId="0" fontId="53" fillId="0" borderId="0" xfId="17" applyFont="1"/>
    <xf numFmtId="0" fontId="54" fillId="3" borderId="27" xfId="16" applyFont="1" applyFill="1" applyBorder="1" applyAlignment="1" applyProtection="1">
      <alignment horizontal="center" vertical="center" wrapText="1"/>
      <protection hidden="1"/>
    </xf>
    <xf numFmtId="0" fontId="46" fillId="3" borderId="33" xfId="16" applyFont="1" applyFill="1" applyBorder="1" applyAlignment="1" applyProtection="1">
      <alignment horizontal="center" vertical="center" wrapText="1"/>
      <protection hidden="1"/>
    </xf>
    <xf numFmtId="173" fontId="38" fillId="19" borderId="13" xfId="19" applyNumberFormat="1" applyFont="1" applyFill="1" applyBorder="1" applyAlignment="1" applyProtection="1">
      <alignment horizontal="center" vertical="center"/>
      <protection hidden="1"/>
    </xf>
    <xf numFmtId="171" fontId="38" fillId="19" borderId="14" xfId="16" applyNumberFormat="1" applyFont="1" applyFill="1" applyBorder="1" applyAlignment="1" applyProtection="1">
      <alignment horizontal="center" vertical="center"/>
      <protection hidden="1"/>
    </xf>
    <xf numFmtId="178" fontId="37" fillId="20" borderId="61" xfId="19" applyNumberFormat="1" applyFont="1" applyFill="1" applyBorder="1" applyAlignment="1" applyProtection="1">
      <alignment horizontal="center" vertical="center"/>
      <protection hidden="1"/>
    </xf>
    <xf numFmtId="44" fontId="37" fillId="20" borderId="22" xfId="24" applyFont="1" applyFill="1" applyBorder="1" applyAlignment="1" applyProtection="1">
      <alignment horizontal="center" vertical="center"/>
      <protection hidden="1"/>
    </xf>
    <xf numFmtId="171" fontId="37" fillId="0" borderId="0" xfId="16" applyNumberFormat="1" applyFont="1" applyAlignment="1" applyProtection="1">
      <alignment horizontal="left" vertical="top" wrapText="1"/>
      <protection hidden="1"/>
    </xf>
    <xf numFmtId="171" fontId="36" fillId="0" borderId="0" xfId="16" applyNumberFormat="1" applyFont="1" applyAlignment="1" applyProtection="1">
      <alignment vertical="center"/>
      <protection hidden="1"/>
    </xf>
    <xf numFmtId="0" fontId="36" fillId="0" borderId="0" xfId="16" applyFont="1" applyAlignment="1" applyProtection="1">
      <alignment vertical="center" wrapText="1"/>
      <protection hidden="1"/>
    </xf>
    <xf numFmtId="0" fontId="46" fillId="3" borderId="32" xfId="16" applyFont="1" applyFill="1" applyBorder="1" applyAlignment="1" applyProtection="1">
      <alignment vertical="center" wrapText="1"/>
      <protection hidden="1"/>
    </xf>
    <xf numFmtId="0" fontId="46" fillId="3" borderId="19" xfId="16" applyFont="1" applyFill="1" applyBorder="1" applyAlignment="1" applyProtection="1">
      <alignment vertical="center" wrapText="1"/>
      <protection hidden="1"/>
    </xf>
    <xf numFmtId="171" fontId="46" fillId="3" borderId="43" xfId="16" applyNumberFormat="1" applyFont="1" applyFill="1" applyBorder="1" applyAlignment="1" applyProtection="1">
      <alignment horizontal="center" vertical="center" wrapText="1"/>
      <protection hidden="1"/>
    </xf>
    <xf numFmtId="0" fontId="46" fillId="3" borderId="30" xfId="16" applyFont="1" applyFill="1" applyBorder="1" applyAlignment="1" applyProtection="1">
      <alignment horizontal="center" vertical="center" wrapText="1"/>
      <protection hidden="1"/>
    </xf>
    <xf numFmtId="0" fontId="46" fillId="3" borderId="23" xfId="16" applyFont="1" applyFill="1" applyBorder="1" applyAlignment="1" applyProtection="1">
      <alignment horizontal="center" vertical="center" wrapText="1"/>
      <protection hidden="1"/>
    </xf>
    <xf numFmtId="0" fontId="37" fillId="19" borderId="25" xfId="16" applyFont="1" applyFill="1" applyBorder="1" applyAlignment="1" applyProtection="1">
      <alignment horizontal="center" vertical="center" wrapText="1"/>
      <protection hidden="1"/>
    </xf>
    <xf numFmtId="0" fontId="37" fillId="19" borderId="31" xfId="16" applyFont="1" applyFill="1" applyBorder="1" applyAlignment="1" applyProtection="1">
      <alignment vertical="center" wrapText="1"/>
      <protection hidden="1"/>
    </xf>
    <xf numFmtId="0" fontId="37" fillId="18" borderId="27" xfId="16" applyFont="1" applyFill="1" applyBorder="1" applyAlignment="1" applyProtection="1">
      <alignment horizontal="center" vertical="center" wrapText="1"/>
      <protection hidden="1"/>
    </xf>
    <xf numFmtId="172" fontId="38" fillId="18" borderId="25" xfId="19" applyNumberFormat="1" applyFont="1" applyFill="1" applyBorder="1" applyAlignment="1" applyProtection="1">
      <alignment vertical="center"/>
      <protection hidden="1"/>
    </xf>
    <xf numFmtId="3" fontId="38" fillId="0" borderId="52" xfId="3" applyNumberFormat="1" applyFont="1" applyBorder="1" applyAlignment="1" applyProtection="1">
      <alignment vertical="center"/>
      <protection hidden="1"/>
    </xf>
    <xf numFmtId="179" fontId="38" fillId="0" borderId="11" xfId="3" applyNumberFormat="1" applyFont="1" applyBorder="1" applyAlignment="1" applyProtection="1">
      <alignment vertical="center"/>
      <protection hidden="1"/>
    </xf>
    <xf numFmtId="44" fontId="38" fillId="0" borderId="10" xfId="24" applyFont="1" applyFill="1" applyBorder="1" applyAlignment="1" applyProtection="1">
      <alignment vertical="center"/>
      <protection hidden="1"/>
    </xf>
    <xf numFmtId="44" fontId="38" fillId="0" borderId="26" xfId="24" applyFont="1" applyFill="1" applyBorder="1" applyAlignment="1" applyProtection="1">
      <alignment vertical="center"/>
      <protection hidden="1"/>
    </xf>
    <xf numFmtId="0" fontId="37" fillId="19" borderId="17" xfId="16" applyFont="1" applyFill="1" applyBorder="1" applyAlignment="1" applyProtection="1">
      <alignment horizontal="center" vertical="center" wrapText="1"/>
      <protection hidden="1"/>
    </xf>
    <xf numFmtId="0" fontId="37" fillId="19" borderId="32" xfId="16" applyFont="1" applyFill="1" applyBorder="1" applyAlignment="1" applyProtection="1">
      <alignment vertical="center" wrapText="1"/>
      <protection hidden="1"/>
    </xf>
    <xf numFmtId="0" fontId="37" fillId="18" borderId="19" xfId="16" applyFont="1" applyFill="1" applyBorder="1" applyAlignment="1" applyProtection="1">
      <alignment horizontal="center" vertical="center" wrapText="1"/>
      <protection hidden="1"/>
    </xf>
    <xf numFmtId="172" fontId="38" fillId="18" borderId="17" xfId="19" applyNumberFormat="1" applyFont="1" applyFill="1" applyBorder="1" applyAlignment="1" applyProtection="1">
      <alignment vertical="center"/>
      <protection hidden="1"/>
    </xf>
    <xf numFmtId="179" fontId="38" fillId="3" borderId="48" xfId="3" applyNumberFormat="1" applyFont="1" applyFill="1" applyBorder="1" applyAlignment="1" applyProtection="1">
      <alignment vertical="center"/>
      <protection hidden="1"/>
    </xf>
    <xf numFmtId="44" fontId="38" fillId="0" borderId="47" xfId="24" applyFont="1" applyFill="1" applyBorder="1" applyAlignment="1" applyProtection="1">
      <alignment vertical="center"/>
      <protection hidden="1"/>
    </xf>
    <xf numFmtId="44" fontId="38" fillId="3" borderId="57" xfId="24" applyFont="1" applyFill="1" applyBorder="1" applyAlignment="1" applyProtection="1">
      <alignment vertical="center"/>
      <protection hidden="1"/>
    </xf>
    <xf numFmtId="172" fontId="37" fillId="20" borderId="21" xfId="19" applyNumberFormat="1" applyFont="1" applyFill="1" applyBorder="1" applyAlignment="1" applyProtection="1">
      <alignment horizontal="right" vertical="center"/>
      <protection hidden="1"/>
    </xf>
    <xf numFmtId="172" fontId="37" fillId="20" borderId="61" xfId="19" applyNumberFormat="1" applyFont="1" applyFill="1" applyBorder="1" applyAlignment="1" applyProtection="1">
      <alignment horizontal="right" vertical="center"/>
      <protection hidden="1"/>
    </xf>
    <xf numFmtId="44" fontId="37" fillId="20" borderId="9" xfId="21" applyFont="1" applyFill="1" applyBorder="1" applyAlignment="1" applyProtection="1">
      <alignment horizontal="right" vertical="center"/>
      <protection hidden="1"/>
    </xf>
    <xf numFmtId="3" fontId="37" fillId="20" borderId="41" xfId="16" applyNumberFormat="1" applyFont="1" applyFill="1" applyBorder="1" applyAlignment="1" applyProtection="1">
      <alignment horizontal="right" vertical="center"/>
      <protection hidden="1"/>
    </xf>
    <xf numFmtId="179" fontId="37" fillId="20" borderId="41" xfId="16" applyNumberFormat="1" applyFont="1" applyFill="1" applyBorder="1" applyAlignment="1" applyProtection="1">
      <alignment horizontal="right" vertical="center"/>
      <protection hidden="1"/>
    </xf>
    <xf numFmtId="44" fontId="37" fillId="20" borderId="41" xfId="24" applyFont="1" applyFill="1" applyBorder="1" applyAlignment="1" applyProtection="1">
      <alignment horizontal="center" vertical="center"/>
      <protection hidden="1"/>
    </xf>
    <xf numFmtId="0" fontId="46" fillId="3" borderId="2" xfId="16" applyFont="1" applyFill="1" applyBorder="1" applyAlignment="1" applyProtection="1">
      <alignment vertical="center" wrapText="1"/>
      <protection hidden="1"/>
    </xf>
    <xf numFmtId="0" fontId="46" fillId="3" borderId="79" xfId="16" applyFont="1" applyFill="1" applyBorder="1" applyAlignment="1" applyProtection="1">
      <alignment vertical="center" wrapText="1"/>
      <protection hidden="1"/>
    </xf>
    <xf numFmtId="0" fontId="37" fillId="19" borderId="26" xfId="16" applyFont="1" applyFill="1" applyBorder="1" applyAlignment="1" applyProtection="1">
      <alignment vertical="center" wrapText="1"/>
      <protection hidden="1"/>
    </xf>
    <xf numFmtId="170" fontId="48" fillId="18" borderId="27" xfId="19" applyNumberFormat="1" applyFont="1" applyFill="1" applyBorder="1" applyAlignment="1" applyProtection="1">
      <alignment horizontal="center" vertical="center" wrapText="1"/>
      <protection hidden="1"/>
    </xf>
    <xf numFmtId="0" fontId="37" fillId="19" borderId="18" xfId="16" applyFont="1" applyFill="1" applyBorder="1" applyAlignment="1" applyProtection="1">
      <alignment vertical="center" wrapText="1"/>
      <protection hidden="1"/>
    </xf>
    <xf numFmtId="170" fontId="48" fillId="18" borderId="19" xfId="19" applyNumberFormat="1" applyFont="1" applyFill="1" applyBorder="1" applyAlignment="1" applyProtection="1">
      <alignment horizontal="center" vertical="center" wrapText="1"/>
      <protection hidden="1"/>
    </xf>
    <xf numFmtId="0" fontId="38" fillId="0" borderId="0" xfId="3" applyFont="1" applyAlignment="1" applyProtection="1">
      <alignment horizontal="right"/>
      <protection hidden="1"/>
    </xf>
    <xf numFmtId="174" fontId="38" fillId="0" borderId="0" xfId="3" applyNumberFormat="1" applyFont="1" applyProtection="1">
      <protection hidden="1"/>
    </xf>
    <xf numFmtId="180" fontId="38" fillId="0" borderId="0" xfId="3" applyNumberFormat="1" applyFont="1" applyProtection="1">
      <protection hidden="1"/>
    </xf>
    <xf numFmtId="0" fontId="46" fillId="27" borderId="36" xfId="16" applyFont="1" applyFill="1" applyBorder="1" applyAlignment="1" applyProtection="1">
      <alignment horizontal="center" vertical="center" wrapText="1"/>
      <protection hidden="1"/>
    </xf>
    <xf numFmtId="0" fontId="37" fillId="19" borderId="31" xfId="16" applyFont="1" applyFill="1" applyBorder="1" applyAlignment="1" applyProtection="1">
      <alignment horizontal="center" vertical="center" wrapText="1"/>
      <protection hidden="1"/>
    </xf>
    <xf numFmtId="169" fontId="38" fillId="0" borderId="11" xfId="3" applyNumberFormat="1" applyFont="1" applyBorder="1" applyAlignment="1" applyProtection="1">
      <alignment vertical="center"/>
      <protection hidden="1"/>
    </xf>
    <xf numFmtId="44" fontId="38" fillId="0" borderId="0" xfId="24" applyFont="1" applyFill="1" applyProtection="1">
      <protection hidden="1"/>
    </xf>
    <xf numFmtId="169" fontId="38" fillId="0" borderId="48" xfId="3" applyNumberFormat="1" applyFont="1" applyBorder="1" applyAlignment="1" applyProtection="1">
      <alignment vertical="center"/>
      <protection hidden="1"/>
    </xf>
    <xf numFmtId="169" fontId="38" fillId="3" borderId="48" xfId="3" applyNumberFormat="1" applyFont="1" applyFill="1" applyBorder="1" applyAlignment="1" applyProtection="1">
      <alignment vertical="center"/>
      <protection hidden="1"/>
    </xf>
    <xf numFmtId="44" fontId="38" fillId="0" borderId="80" xfId="21" applyFont="1" applyBorder="1" applyAlignment="1" applyProtection="1">
      <alignment vertical="center"/>
      <protection hidden="1"/>
    </xf>
    <xf numFmtId="0" fontId="47" fillId="20" borderId="77" xfId="16" applyFont="1" applyFill="1" applyBorder="1" applyAlignment="1" applyProtection="1">
      <alignment vertical="center"/>
      <protection hidden="1"/>
    </xf>
    <xf numFmtId="0" fontId="47" fillId="20" borderId="75" xfId="16" applyFont="1" applyFill="1" applyBorder="1" applyAlignment="1" applyProtection="1">
      <alignment vertical="center"/>
      <protection hidden="1"/>
    </xf>
    <xf numFmtId="44" fontId="38" fillId="0" borderId="0" xfId="24" applyFont="1" applyFill="1" applyBorder="1" applyProtection="1">
      <protection hidden="1"/>
    </xf>
    <xf numFmtId="0" fontId="43" fillId="5" borderId="20" xfId="16" applyFont="1" applyFill="1" applyBorder="1" applyAlignment="1" applyProtection="1">
      <alignment vertical="top"/>
      <protection hidden="1"/>
    </xf>
    <xf numFmtId="0" fontId="43" fillId="5" borderId="61" xfId="16" applyFont="1" applyFill="1" applyBorder="1" applyAlignment="1" applyProtection="1">
      <alignment vertical="top"/>
      <protection hidden="1"/>
    </xf>
    <xf numFmtId="0" fontId="43" fillId="5" borderId="62" xfId="16" applyFont="1" applyFill="1" applyBorder="1" applyAlignment="1" applyProtection="1">
      <alignment vertical="top"/>
      <protection hidden="1"/>
    </xf>
    <xf numFmtId="181" fontId="38" fillId="0" borderId="0" xfId="3" applyNumberFormat="1" applyFont="1" applyProtection="1">
      <protection hidden="1"/>
    </xf>
    <xf numFmtId="0" fontId="36" fillId="15" borderId="0" xfId="16" applyFont="1" applyFill="1" applyAlignment="1" applyProtection="1">
      <alignment horizontal="center" vertical="center"/>
      <protection hidden="1"/>
    </xf>
    <xf numFmtId="0" fontId="36" fillId="15" borderId="0" xfId="16" applyFont="1" applyFill="1" applyAlignment="1" applyProtection="1">
      <alignment vertical="center"/>
      <protection hidden="1"/>
    </xf>
    <xf numFmtId="171" fontId="46" fillId="3" borderId="46" xfId="16" applyNumberFormat="1" applyFont="1" applyFill="1" applyBorder="1" applyAlignment="1" applyProtection="1">
      <alignment horizontal="center" vertical="center" wrapText="1"/>
      <protection hidden="1"/>
    </xf>
    <xf numFmtId="0" fontId="46" fillId="3" borderId="38" xfId="16" applyFont="1" applyFill="1" applyBorder="1" applyAlignment="1" applyProtection="1">
      <alignment horizontal="center" vertical="center" wrapText="1"/>
      <protection hidden="1"/>
    </xf>
    <xf numFmtId="0" fontId="37" fillId="19" borderId="10" xfId="16" applyFont="1" applyFill="1" applyBorder="1" applyAlignment="1" applyProtection="1">
      <alignment horizontal="center" vertical="center" wrapText="1"/>
      <protection hidden="1"/>
    </xf>
    <xf numFmtId="44" fontId="38" fillId="18" borderId="27" xfId="21" applyFont="1" applyFill="1" applyBorder="1" applyAlignment="1" applyProtection="1">
      <alignment horizontal="center" vertical="center"/>
      <protection hidden="1"/>
    </xf>
    <xf numFmtId="44" fontId="38" fillId="0" borderId="33" xfId="21" applyFont="1" applyFill="1" applyBorder="1" applyAlignment="1" applyProtection="1">
      <alignment vertical="center"/>
      <protection hidden="1"/>
    </xf>
    <xf numFmtId="44" fontId="38" fillId="0" borderId="33" xfId="24" applyFont="1" applyFill="1" applyBorder="1" applyAlignment="1" applyProtection="1">
      <alignment vertical="center"/>
      <protection hidden="1"/>
    </xf>
    <xf numFmtId="44" fontId="38" fillId="18" borderId="33" xfId="21" applyFont="1" applyFill="1" applyBorder="1" applyAlignment="1" applyProtection="1">
      <alignment vertical="center"/>
      <protection hidden="1"/>
    </xf>
    <xf numFmtId="0" fontId="47" fillId="20" borderId="77" xfId="16" applyFont="1" applyFill="1" applyBorder="1" applyAlignment="1" applyProtection="1">
      <alignment horizontal="center" vertical="center"/>
      <protection hidden="1"/>
    </xf>
    <xf numFmtId="44" fontId="37" fillId="20" borderId="36" xfId="21" applyFont="1" applyFill="1" applyBorder="1" applyAlignment="1" applyProtection="1">
      <alignment horizontal="right" vertical="center"/>
      <protection hidden="1"/>
    </xf>
    <xf numFmtId="44" fontId="37" fillId="20" borderId="36" xfId="24" applyFont="1" applyFill="1" applyBorder="1" applyAlignment="1" applyProtection="1">
      <alignment horizontal="center" vertical="center"/>
      <protection hidden="1"/>
    </xf>
    <xf numFmtId="44" fontId="37" fillId="20" borderId="73" xfId="21" applyFont="1" applyFill="1" applyBorder="1" applyAlignment="1" applyProtection="1">
      <alignment horizontal="center" vertical="center"/>
      <protection hidden="1"/>
    </xf>
    <xf numFmtId="172" fontId="38" fillId="0" borderId="1" xfId="19" applyNumberFormat="1" applyFont="1" applyFill="1" applyBorder="1" applyAlignment="1" applyProtection="1">
      <alignment vertical="center"/>
      <protection hidden="1"/>
    </xf>
    <xf numFmtId="0" fontId="5" fillId="5" borderId="1" xfId="0" applyFont="1" applyFill="1" applyBorder="1" applyAlignment="1">
      <alignment vertical="center" wrapText="1"/>
    </xf>
    <xf numFmtId="0" fontId="5" fillId="7" borderId="1" xfId="0" applyFont="1" applyFill="1" applyBorder="1" applyAlignment="1">
      <alignment vertical="center" wrapText="1"/>
    </xf>
    <xf numFmtId="0" fontId="5" fillId="5" borderId="42" xfId="0" applyFont="1" applyFill="1" applyBorder="1" applyAlignment="1">
      <alignment vertical="center" wrapText="1"/>
    </xf>
    <xf numFmtId="0" fontId="5" fillId="5" borderId="42" xfId="0" applyFont="1" applyFill="1" applyBorder="1" applyAlignment="1">
      <alignment horizontal="center" vertical="center"/>
    </xf>
    <xf numFmtId="3" fontId="12" fillId="6" borderId="42" xfId="8" applyFill="1" applyBorder="1">
      <alignment horizontal="center" vertical="center"/>
    </xf>
    <xf numFmtId="3" fontId="12" fillId="0" borderId="42" xfId="8" applyBorder="1">
      <alignment horizontal="center" vertical="center"/>
    </xf>
    <xf numFmtId="0" fontId="5" fillId="5" borderId="57" xfId="0" applyFont="1" applyFill="1" applyBorder="1" applyAlignment="1">
      <alignment vertical="center"/>
    </xf>
    <xf numFmtId="0" fontId="5" fillId="5" borderId="57" xfId="0" applyFont="1" applyFill="1" applyBorder="1" applyAlignment="1">
      <alignment horizontal="center" vertical="center"/>
    </xf>
    <xf numFmtId="0" fontId="5" fillId="5" borderId="25" xfId="0" applyFont="1" applyFill="1" applyBorder="1" applyAlignment="1">
      <alignment vertical="center"/>
    </xf>
    <xf numFmtId="3" fontId="12" fillId="6" borderId="26" xfId="8" applyFill="1" applyBorder="1">
      <alignment horizontal="center" vertical="center"/>
    </xf>
    <xf numFmtId="3" fontId="12" fillId="0" borderId="26" xfId="8" applyBorder="1">
      <alignment horizontal="center" vertical="center"/>
    </xf>
    <xf numFmtId="0" fontId="5" fillId="5" borderId="15" xfId="0" applyFont="1" applyFill="1" applyBorder="1" applyAlignment="1">
      <alignment vertical="center" wrapText="1"/>
    </xf>
    <xf numFmtId="0" fontId="5" fillId="5" borderId="17" xfId="0" applyFont="1" applyFill="1" applyBorder="1" applyAlignment="1">
      <alignment vertical="center" wrapText="1"/>
    </xf>
    <xf numFmtId="3" fontId="12" fillId="6" borderId="18" xfId="8" applyFill="1" applyBorder="1">
      <alignment horizontal="center" vertical="center"/>
    </xf>
    <xf numFmtId="3" fontId="12" fillId="0" borderId="18" xfId="8" applyBorder="1">
      <alignment horizontal="center" vertical="center"/>
    </xf>
    <xf numFmtId="0" fontId="5" fillId="5" borderId="70" xfId="0" applyFont="1" applyFill="1" applyBorder="1" applyAlignment="1">
      <alignment vertical="center"/>
    </xf>
    <xf numFmtId="0" fontId="5" fillId="5" borderId="70" xfId="0" applyFont="1" applyFill="1" applyBorder="1" applyAlignment="1">
      <alignment horizontal="center" vertical="center"/>
    </xf>
    <xf numFmtId="165" fontId="5" fillId="6" borderId="70" xfId="9" applyNumberFormat="1" applyFont="1" applyFill="1" applyBorder="1">
      <alignment horizontal="right" vertical="center"/>
    </xf>
    <xf numFmtId="165" fontId="5" fillId="0" borderId="70" xfId="9" applyNumberFormat="1" applyFont="1" applyBorder="1">
      <alignment horizontal="right" vertical="center"/>
    </xf>
    <xf numFmtId="44" fontId="5" fillId="6" borderId="57" xfId="4" applyFont="1" applyFill="1" applyBorder="1" applyAlignment="1">
      <alignment horizontal="center" vertical="center"/>
    </xf>
    <xf numFmtId="44" fontId="5" fillId="0" borderId="57" xfId="4" applyFont="1" applyBorder="1" applyAlignment="1">
      <alignment horizontal="center" vertical="center"/>
    </xf>
    <xf numFmtId="0" fontId="5" fillId="5" borderId="41" xfId="0" applyFont="1" applyFill="1" applyBorder="1" applyAlignment="1">
      <alignment vertical="center"/>
    </xf>
    <xf numFmtId="0" fontId="5" fillId="5" borderId="40" xfId="0" applyFont="1" applyFill="1" applyBorder="1" applyAlignment="1">
      <alignment horizontal="center" vertical="center"/>
    </xf>
    <xf numFmtId="165" fontId="5" fillId="6" borderId="40" xfId="9" applyNumberFormat="1" applyFont="1" applyFill="1" applyBorder="1">
      <alignment horizontal="right" vertical="center"/>
    </xf>
    <xf numFmtId="165" fontId="5" fillId="0" borderId="40" xfId="9" applyNumberFormat="1" applyFont="1" applyBorder="1">
      <alignment horizontal="right" vertical="center"/>
    </xf>
    <xf numFmtId="0" fontId="15" fillId="5" borderId="45" xfId="0" applyFont="1" applyFill="1" applyBorder="1" applyAlignment="1">
      <alignment vertical="center"/>
    </xf>
    <xf numFmtId="0" fontId="5" fillId="5" borderId="67" xfId="0" applyFont="1" applyFill="1" applyBorder="1" applyAlignment="1">
      <alignment horizontal="center" vertical="center"/>
    </xf>
    <xf numFmtId="0" fontId="5" fillId="5" borderId="73" xfId="0" applyFont="1" applyFill="1" applyBorder="1" applyAlignment="1">
      <alignment vertical="center"/>
    </xf>
    <xf numFmtId="3" fontId="12" fillId="18" borderId="26" xfId="8" applyFill="1" applyBorder="1">
      <alignment horizontal="center" vertical="center"/>
    </xf>
    <xf numFmtId="0" fontId="5" fillId="6" borderId="7" xfId="0" applyFont="1" applyFill="1" applyBorder="1" applyAlignment="1">
      <alignment horizontal="center" vertical="center"/>
    </xf>
    <xf numFmtId="0" fontId="24" fillId="6" borderId="7" xfId="0" applyFont="1" applyFill="1" applyBorder="1" applyAlignment="1">
      <alignment horizontal="center" vertical="center"/>
    </xf>
    <xf numFmtId="0" fontId="5" fillId="6" borderId="38" xfId="0" applyFont="1" applyFill="1" applyBorder="1" applyAlignment="1">
      <alignment horizontal="center" vertical="center"/>
    </xf>
    <xf numFmtId="3" fontId="12" fillId="6" borderId="36" xfId="8" applyFill="1" applyBorder="1">
      <alignment horizontal="center" vertical="center"/>
    </xf>
    <xf numFmtId="3" fontId="12" fillId="7" borderId="19" xfId="8" applyFill="1" applyBorder="1">
      <alignment horizontal="center" vertical="center"/>
    </xf>
    <xf numFmtId="0" fontId="5" fillId="10" borderId="15" xfId="0" applyFont="1" applyFill="1" applyBorder="1" applyAlignment="1">
      <alignment horizontal="left" vertical="center" wrapText="1"/>
    </xf>
    <xf numFmtId="0" fontId="5" fillId="10" borderId="1" xfId="0" applyFont="1" applyFill="1" applyBorder="1" applyAlignment="1">
      <alignment horizontal="left" vertical="center" wrapText="1"/>
    </xf>
    <xf numFmtId="0" fontId="5" fillId="10" borderId="17" xfId="0" applyFont="1" applyFill="1" applyBorder="1" applyAlignment="1">
      <alignment horizontal="left" wrapText="1"/>
    </xf>
    <xf numFmtId="0" fontId="5" fillId="10" borderId="18" xfId="0" applyFont="1" applyFill="1" applyBorder="1" applyAlignment="1">
      <alignment horizontal="left" wrapText="1"/>
    </xf>
    <xf numFmtId="0" fontId="15" fillId="7" borderId="10" xfId="0" applyFont="1" applyFill="1" applyBorder="1" applyAlignment="1">
      <alignment horizontal="left" vertical="center"/>
    </xf>
    <xf numFmtId="0" fontId="15" fillId="7" borderId="11" xfId="0" applyFont="1" applyFill="1" applyBorder="1" applyAlignment="1">
      <alignment horizontal="left" vertical="center"/>
    </xf>
    <xf numFmtId="0" fontId="15" fillId="7" borderId="12" xfId="0" applyFont="1" applyFill="1" applyBorder="1" applyAlignment="1">
      <alignment horizontal="left" vertical="center"/>
    </xf>
    <xf numFmtId="0" fontId="15" fillId="9" borderId="10" xfId="0" applyFont="1" applyFill="1" applyBorder="1" applyAlignment="1">
      <alignment horizontal="left" vertical="center"/>
    </xf>
    <xf numFmtId="0" fontId="15" fillId="9" borderId="11" xfId="0" applyFont="1" applyFill="1" applyBorder="1" applyAlignment="1">
      <alignment horizontal="left" vertical="center"/>
    </xf>
    <xf numFmtId="0" fontId="15" fillId="9" borderId="12" xfId="0" applyFont="1" applyFill="1" applyBorder="1" applyAlignment="1">
      <alignment horizontal="left" vertical="center"/>
    </xf>
    <xf numFmtId="0" fontId="15" fillId="11" borderId="25" xfId="0" applyFont="1" applyFill="1" applyBorder="1" applyAlignment="1">
      <alignment horizontal="left" vertical="center"/>
    </xf>
    <xf numFmtId="0" fontId="15" fillId="11" borderId="26" xfId="0" applyFont="1" applyFill="1" applyBorder="1" applyAlignment="1">
      <alignment horizontal="left" vertical="center"/>
    </xf>
    <xf numFmtId="0" fontId="15" fillId="11" borderId="27" xfId="0" applyFont="1" applyFill="1" applyBorder="1" applyAlignment="1">
      <alignment horizontal="left" vertical="center"/>
    </xf>
    <xf numFmtId="3" fontId="5" fillId="18" borderId="1" xfId="8" applyFont="1" applyFill="1" applyBorder="1">
      <alignment horizontal="center" vertical="center"/>
    </xf>
    <xf numFmtId="0" fontId="15" fillId="6" borderId="13" xfId="0" applyFont="1" applyFill="1" applyBorder="1" applyAlignment="1">
      <alignment vertical="center"/>
    </xf>
    <xf numFmtId="0" fontId="15" fillId="6" borderId="7" xfId="0" applyFont="1" applyFill="1" applyBorder="1" applyAlignment="1">
      <alignment horizontal="center" vertical="center"/>
    </xf>
    <xf numFmtId="3" fontId="15" fillId="0" borderId="14" xfId="8" applyFont="1" applyBorder="1">
      <alignment horizontal="center" vertical="center"/>
    </xf>
    <xf numFmtId="0" fontId="29" fillId="6" borderId="7" xfId="0" applyFont="1" applyFill="1" applyBorder="1" applyAlignment="1">
      <alignment horizontal="center" vertical="center"/>
    </xf>
    <xf numFmtId="3" fontId="15" fillId="0" borderId="14" xfId="8" applyFont="1" applyFill="1" applyBorder="1">
      <alignment horizontal="center" vertical="center"/>
    </xf>
    <xf numFmtId="0" fontId="15" fillId="6" borderId="7" xfId="0" applyFont="1" applyFill="1" applyBorder="1" applyAlignment="1">
      <alignment vertical="center"/>
    </xf>
    <xf numFmtId="0" fontId="5" fillId="18" borderId="18" xfId="0" applyFont="1" applyFill="1" applyBorder="1" applyAlignment="1">
      <alignment horizontal="center" vertical="center"/>
    </xf>
    <xf numFmtId="0" fontId="57" fillId="15" borderId="0" xfId="0" applyFont="1" applyFill="1"/>
    <xf numFmtId="0" fontId="30" fillId="15" borderId="0" xfId="0" applyFont="1" applyFill="1"/>
    <xf numFmtId="0" fontId="5" fillId="5" borderId="44" xfId="0" applyFont="1" applyFill="1" applyBorder="1" applyAlignment="1">
      <alignment vertical="center"/>
    </xf>
    <xf numFmtId="3" fontId="12" fillId="0" borderId="43" xfId="8" applyFill="1" applyBorder="1">
      <alignment horizontal="center" vertical="center"/>
    </xf>
    <xf numFmtId="0" fontId="5" fillId="5" borderId="52" xfId="0" applyFont="1" applyFill="1" applyBorder="1" applyAlignment="1">
      <alignment vertical="center"/>
    </xf>
    <xf numFmtId="165" fontId="5" fillId="0" borderId="58" xfId="9" applyFont="1" applyFill="1" applyBorder="1">
      <alignment horizontal="right" vertical="center"/>
    </xf>
    <xf numFmtId="3" fontId="12" fillId="0" borderId="27" xfId="8" applyFill="1" applyBorder="1">
      <alignment horizontal="center" vertical="center"/>
    </xf>
    <xf numFmtId="3" fontId="12" fillId="0" borderId="19" xfId="8" applyFill="1" applyBorder="1">
      <alignment horizontal="center" vertical="center"/>
    </xf>
    <xf numFmtId="185" fontId="5" fillId="15" borderId="0" xfId="0" applyNumberFormat="1" applyFont="1" applyFill="1"/>
    <xf numFmtId="43" fontId="5" fillId="15" borderId="0" xfId="34" applyFont="1" applyFill="1"/>
    <xf numFmtId="182" fontId="5" fillId="15" borderId="0" xfId="0" applyNumberFormat="1" applyFont="1" applyFill="1"/>
    <xf numFmtId="184" fontId="5" fillId="15" borderId="0" xfId="34" applyNumberFormat="1" applyFont="1" applyFill="1"/>
    <xf numFmtId="44" fontId="37" fillId="20" borderId="62" xfId="21" applyFont="1" applyFill="1" applyBorder="1" applyAlignment="1" applyProtection="1">
      <alignment horizontal="center" vertical="center"/>
      <protection hidden="1"/>
    </xf>
    <xf numFmtId="0" fontId="46" fillId="3" borderId="77" xfId="16" applyFont="1" applyFill="1" applyBorder="1" applyAlignment="1" applyProtection="1">
      <alignment horizontal="center" vertical="center" wrapText="1"/>
      <protection hidden="1"/>
    </xf>
    <xf numFmtId="0" fontId="46" fillId="3" borderId="72" xfId="16" applyFont="1" applyFill="1" applyBorder="1" applyAlignment="1" applyProtection="1">
      <alignment horizontal="center" vertical="center" wrapText="1"/>
      <protection hidden="1"/>
    </xf>
    <xf numFmtId="0" fontId="46" fillId="3" borderId="29" xfId="16" applyFont="1" applyFill="1" applyBorder="1" applyAlignment="1" applyProtection="1">
      <alignment horizontal="center" vertical="center" wrapText="1"/>
      <protection hidden="1"/>
    </xf>
    <xf numFmtId="0" fontId="37" fillId="19" borderId="32" xfId="16" applyFont="1" applyFill="1" applyBorder="1" applyAlignment="1" applyProtection="1">
      <alignment horizontal="center" vertical="center" wrapText="1"/>
      <protection hidden="1"/>
    </xf>
    <xf numFmtId="0" fontId="46" fillId="3" borderId="5" xfId="16" applyFont="1" applyFill="1" applyBorder="1" applyAlignment="1" applyProtection="1">
      <alignment horizontal="center" vertical="center" wrapText="1"/>
      <protection hidden="1"/>
    </xf>
    <xf numFmtId="3" fontId="5" fillId="15" borderId="0" xfId="0" applyNumberFormat="1" applyFont="1" applyFill="1"/>
    <xf numFmtId="187" fontId="5" fillId="8" borderId="18" xfId="34" applyNumberFormat="1" applyFont="1" applyFill="1" applyBorder="1" applyAlignment="1">
      <alignment horizontal="center" vertical="center"/>
    </xf>
    <xf numFmtId="187" fontId="5" fillId="0" borderId="18" xfId="34" applyNumberFormat="1" applyFont="1" applyBorder="1" applyAlignment="1">
      <alignment horizontal="center" vertical="center"/>
    </xf>
    <xf numFmtId="0" fontId="58" fillId="26" borderId="81" xfId="0" applyFont="1" applyFill="1" applyBorder="1" applyAlignment="1">
      <alignment vertical="center" wrapText="1"/>
    </xf>
    <xf numFmtId="0" fontId="60" fillId="17" borderId="46" xfId="0" applyFont="1" applyFill="1" applyBorder="1"/>
    <xf numFmtId="0" fontId="61" fillId="15" borderId="0" xfId="0" applyFont="1" applyFill="1"/>
    <xf numFmtId="166" fontId="59" fillId="26" borderId="81" xfId="0" applyNumberFormat="1" applyFont="1" applyFill="1" applyBorder="1" applyAlignment="1">
      <alignment vertical="center" wrapText="1"/>
    </xf>
    <xf numFmtId="186" fontId="12" fillId="8" borderId="1" xfId="34" applyNumberFormat="1" applyFont="1" applyFill="1" applyBorder="1" applyAlignment="1">
      <alignment horizontal="center" vertical="center"/>
    </xf>
    <xf numFmtId="186" fontId="12" fillId="0" borderId="1" xfId="34" applyNumberFormat="1" applyFont="1" applyFill="1" applyBorder="1" applyAlignment="1">
      <alignment horizontal="center" vertical="center"/>
    </xf>
    <xf numFmtId="0" fontId="37" fillId="0" borderId="0" xfId="16" applyFont="1" applyAlignment="1" applyProtection="1">
      <alignment horizontal="left" vertical="top"/>
      <protection hidden="1"/>
    </xf>
    <xf numFmtId="0" fontId="46" fillId="3" borderId="32" xfId="16" applyFont="1" applyFill="1" applyBorder="1" applyAlignment="1" applyProtection="1">
      <alignment horizontal="center" vertical="center" wrapText="1"/>
      <protection hidden="1"/>
    </xf>
    <xf numFmtId="44" fontId="37" fillId="20" borderId="30" xfId="21" applyFont="1" applyFill="1" applyBorder="1" applyAlignment="1" applyProtection="1">
      <alignment horizontal="center" vertical="center"/>
      <protection hidden="1"/>
    </xf>
    <xf numFmtId="171" fontId="38" fillId="0" borderId="25" xfId="3" applyNumberFormat="1" applyFont="1" applyBorder="1" applyAlignment="1" applyProtection="1">
      <alignment vertical="center"/>
      <protection hidden="1"/>
    </xf>
    <xf numFmtId="171" fontId="38" fillId="0" borderId="15" xfId="3" applyNumberFormat="1" applyFont="1" applyBorder="1" applyAlignment="1" applyProtection="1">
      <alignment vertical="center"/>
      <protection hidden="1"/>
    </xf>
    <xf numFmtId="172" fontId="38" fillId="0" borderId="15" xfId="19" applyNumberFormat="1" applyFont="1" applyFill="1" applyBorder="1" applyAlignment="1" applyProtection="1">
      <alignment vertical="center"/>
      <protection hidden="1"/>
    </xf>
    <xf numFmtId="44" fontId="38" fillId="15" borderId="14" xfId="21" applyFont="1" applyFill="1" applyBorder="1" applyAlignment="1" applyProtection="1">
      <alignment horizontal="center" vertical="center"/>
      <protection hidden="1"/>
    </xf>
    <xf numFmtId="0" fontId="15" fillId="3" borderId="13"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7" xfId="0" applyFont="1" applyFill="1" applyBorder="1" applyAlignment="1">
      <alignment horizontal="center" vertical="center"/>
    </xf>
    <xf numFmtId="0" fontId="50" fillId="3" borderId="33" xfId="16" applyFont="1" applyFill="1" applyBorder="1" applyAlignment="1" applyProtection="1">
      <alignment horizontal="center" vertical="center" wrapText="1"/>
      <protection hidden="1"/>
    </xf>
    <xf numFmtId="0" fontId="37" fillId="19" borderId="4" xfId="16" applyFont="1" applyFill="1" applyBorder="1" applyAlignment="1" applyProtection="1">
      <alignment vertical="center" wrapText="1"/>
      <protection hidden="1"/>
    </xf>
    <xf numFmtId="0" fontId="37" fillId="18" borderId="71" xfId="16" applyFont="1" applyFill="1" applyBorder="1" applyAlignment="1" applyProtection="1">
      <alignment horizontal="center" vertical="center" wrapText="1"/>
      <protection hidden="1"/>
    </xf>
    <xf numFmtId="172" fontId="38" fillId="18" borderId="69" xfId="19" applyNumberFormat="1" applyFont="1" applyFill="1" applyBorder="1" applyAlignment="1" applyProtection="1">
      <alignment vertical="center"/>
      <protection hidden="1"/>
    </xf>
    <xf numFmtId="179" fontId="38" fillId="0" borderId="48" xfId="3" applyNumberFormat="1" applyFont="1" applyBorder="1" applyAlignment="1" applyProtection="1">
      <alignment vertical="center"/>
      <protection hidden="1"/>
    </xf>
    <xf numFmtId="44" fontId="38" fillId="0" borderId="57" xfId="24" applyFont="1" applyFill="1" applyBorder="1" applyAlignment="1" applyProtection="1">
      <alignment vertical="center"/>
      <protection hidden="1"/>
    </xf>
    <xf numFmtId="0" fontId="37" fillId="19" borderId="52" xfId="16" applyFont="1" applyFill="1" applyBorder="1" applyAlignment="1" applyProtection="1">
      <alignment horizontal="center" vertical="center" wrapText="1"/>
      <protection hidden="1"/>
    </xf>
    <xf numFmtId="172" fontId="38" fillId="0" borderId="45" xfId="19" applyNumberFormat="1" applyFont="1" applyFill="1" applyBorder="1" applyAlignment="1" applyProtection="1">
      <alignment vertical="center"/>
      <protection hidden="1"/>
    </xf>
    <xf numFmtId="172" fontId="38" fillId="0" borderId="52" xfId="19" applyNumberFormat="1" applyFont="1" applyFill="1" applyBorder="1" applyAlignment="1" applyProtection="1">
      <alignment vertical="center"/>
      <protection hidden="1"/>
    </xf>
    <xf numFmtId="179" fontId="38" fillId="0" borderId="26" xfId="3" applyNumberFormat="1" applyFont="1" applyBorder="1" applyAlignment="1" applyProtection="1">
      <alignment vertical="center"/>
      <protection hidden="1"/>
    </xf>
    <xf numFmtId="44" fontId="38" fillId="0" borderId="37" xfId="21" applyFont="1" applyBorder="1" applyAlignment="1" applyProtection="1">
      <alignment vertical="center"/>
      <protection hidden="1"/>
    </xf>
    <xf numFmtId="0" fontId="37" fillId="19" borderId="54" xfId="16" applyFont="1" applyFill="1" applyBorder="1" applyAlignment="1" applyProtection="1">
      <alignment horizontal="center" vertical="center" wrapText="1"/>
      <protection hidden="1"/>
    </xf>
    <xf numFmtId="0" fontId="37" fillId="19" borderId="27" xfId="16" applyFont="1" applyFill="1" applyBorder="1" applyAlignment="1" applyProtection="1">
      <alignment horizontal="center" vertical="center" wrapText="1"/>
      <protection hidden="1"/>
    </xf>
    <xf numFmtId="7" fontId="38" fillId="19" borderId="33" xfId="24" applyNumberFormat="1" applyFont="1" applyFill="1" applyBorder="1" applyAlignment="1" applyProtection="1">
      <alignment horizontal="center" vertical="center"/>
      <protection hidden="1"/>
    </xf>
    <xf numFmtId="7" fontId="38" fillId="19" borderId="80" xfId="24" applyNumberFormat="1" applyFont="1" applyFill="1" applyBorder="1" applyAlignment="1" applyProtection="1">
      <alignment horizontal="center" vertical="center"/>
      <protection hidden="1"/>
    </xf>
    <xf numFmtId="7" fontId="38" fillId="19" borderId="36" xfId="16" applyNumberFormat="1" applyFont="1" applyFill="1" applyBorder="1" applyAlignment="1" applyProtection="1">
      <alignment horizontal="center" vertical="center"/>
      <protection hidden="1"/>
    </xf>
    <xf numFmtId="7" fontId="37" fillId="20" borderId="9" xfId="21" applyNumberFormat="1" applyFont="1" applyFill="1" applyBorder="1" applyAlignment="1" applyProtection="1">
      <alignment horizontal="center" vertical="center"/>
      <protection hidden="1"/>
    </xf>
    <xf numFmtId="0" fontId="15" fillId="11" borderId="44" xfId="0" applyFont="1" applyFill="1" applyBorder="1" applyAlignment="1">
      <alignment vertical="center" wrapText="1"/>
    </xf>
    <xf numFmtId="171" fontId="15" fillId="11" borderId="17" xfId="0" applyNumberFormat="1" applyFont="1" applyFill="1" applyBorder="1" applyAlignment="1">
      <alignment vertical="center" wrapText="1"/>
    </xf>
    <xf numFmtId="171" fontId="15" fillId="12" borderId="18" xfId="10" applyNumberFormat="1" applyFont="1" applyFill="1" applyBorder="1" applyAlignment="1">
      <alignment horizontal="center" vertical="center"/>
    </xf>
    <xf numFmtId="171" fontId="15" fillId="15" borderId="18" xfId="10" applyNumberFormat="1" applyFont="1" applyFill="1" applyBorder="1" applyAlignment="1">
      <alignment horizontal="center" vertical="center"/>
    </xf>
    <xf numFmtId="171" fontId="15" fillId="12" borderId="51" xfId="10" applyNumberFormat="1" applyFont="1" applyFill="1" applyBorder="1" applyAlignment="1">
      <alignment horizontal="center" vertical="center"/>
    </xf>
    <xf numFmtId="44" fontId="11" fillId="12" borderId="1" xfId="4" applyFont="1" applyFill="1" applyBorder="1">
      <alignment vertical="center"/>
    </xf>
    <xf numFmtId="44" fontId="11" fillId="0" borderId="1" xfId="4" applyFont="1" applyBorder="1">
      <alignment vertical="center"/>
    </xf>
    <xf numFmtId="44" fontId="11" fillId="12" borderId="16" xfId="4" applyFont="1" applyFill="1" applyBorder="1">
      <alignment vertical="center"/>
    </xf>
    <xf numFmtId="0" fontId="16" fillId="12" borderId="42" xfId="10" applyFont="1" applyFill="1" applyBorder="1" applyAlignment="1">
      <alignment horizontal="center" vertical="center"/>
    </xf>
    <xf numFmtId="0" fontId="16" fillId="15" borderId="42" xfId="10" applyFont="1" applyFill="1" applyBorder="1" applyAlignment="1">
      <alignment horizontal="center" vertical="center"/>
    </xf>
    <xf numFmtId="0" fontId="16" fillId="12" borderId="79" xfId="10" applyFont="1" applyFill="1" applyBorder="1" applyAlignment="1">
      <alignment horizontal="center" vertical="center"/>
    </xf>
    <xf numFmtId="173" fontId="38" fillId="19" borderId="47" xfId="19" applyNumberFormat="1" applyFont="1" applyFill="1" applyBorder="1" applyAlignment="1" applyProtection="1">
      <alignment horizontal="center" vertical="center"/>
      <protection hidden="1"/>
    </xf>
    <xf numFmtId="171" fontId="38" fillId="19" borderId="58" xfId="16" applyNumberFormat="1" applyFont="1" applyFill="1" applyBorder="1" applyAlignment="1" applyProtection="1">
      <alignment horizontal="center" vertical="center"/>
      <protection hidden="1"/>
    </xf>
    <xf numFmtId="0" fontId="50" fillId="3" borderId="25" xfId="16" applyFont="1" applyFill="1" applyBorder="1" applyAlignment="1" applyProtection="1">
      <alignment horizontal="center" vertical="center" wrapText="1"/>
      <protection hidden="1"/>
    </xf>
    <xf numFmtId="0" fontId="50" fillId="3" borderId="31" xfId="16" applyFont="1" applyFill="1" applyBorder="1" applyAlignment="1" applyProtection="1">
      <alignment horizontal="center" vertical="center" wrapText="1"/>
      <protection hidden="1"/>
    </xf>
    <xf numFmtId="0" fontId="16" fillId="15" borderId="0" xfId="10" applyFont="1" applyFill="1">
      <alignment horizontal="left" vertical="center"/>
    </xf>
    <xf numFmtId="0" fontId="15" fillId="3" borderId="25" xfId="0" applyFont="1" applyFill="1" applyBorder="1" applyAlignment="1">
      <alignment horizontal="center" vertical="center"/>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3" borderId="15" xfId="0" applyFont="1" applyFill="1" applyBorder="1" applyAlignment="1">
      <alignment horizontal="center" vertical="center"/>
    </xf>
    <xf numFmtId="183" fontId="5" fillId="18" borderId="1" xfId="34"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5" fillId="0" borderId="14" xfId="0" applyNumberFormat="1" applyFont="1" applyBorder="1" applyAlignment="1">
      <alignment horizontal="center" vertical="center"/>
    </xf>
    <xf numFmtId="166" fontId="5" fillId="0" borderId="1" xfId="0" applyNumberFormat="1" applyFont="1" applyBorder="1" applyAlignment="1">
      <alignment horizontal="center" vertical="center"/>
    </xf>
    <xf numFmtId="0" fontId="15" fillId="3" borderId="15" xfId="0" applyFont="1" applyFill="1" applyBorder="1" applyAlignment="1">
      <alignment horizontal="center" vertical="center"/>
    </xf>
    <xf numFmtId="0" fontId="5" fillId="0" borderId="58" xfId="0" applyFont="1" applyBorder="1" applyAlignment="1">
      <alignment horizontal="center" vertical="center" wrapText="1"/>
    </xf>
    <xf numFmtId="186" fontId="5" fillId="15" borderId="0" xfId="34" applyNumberFormat="1" applyFont="1" applyFill="1"/>
    <xf numFmtId="0" fontId="5" fillId="3" borderId="17" xfId="0" applyFont="1" applyFill="1" applyBorder="1" applyAlignment="1">
      <alignment horizontal="center" vertical="center"/>
    </xf>
    <xf numFmtId="3" fontId="5" fillId="0" borderId="19" xfId="0" applyNumberFormat="1" applyFont="1" applyBorder="1" applyAlignment="1">
      <alignment horizontal="center" vertical="center"/>
    </xf>
    <xf numFmtId="0" fontId="21" fillId="15" borderId="0" xfId="3" applyFont="1" applyFill="1" applyProtection="1">
      <protection hidden="1"/>
    </xf>
    <xf numFmtId="0" fontId="15" fillId="3" borderId="10" xfId="0" applyFont="1" applyFill="1" applyBorder="1" applyAlignment="1">
      <alignment horizontal="center" vertical="center"/>
    </xf>
    <xf numFmtId="0" fontId="15" fillId="3" borderId="11" xfId="0" applyFont="1" applyFill="1" applyBorder="1" applyAlignment="1">
      <alignment horizontal="center" vertical="center"/>
    </xf>
    <xf numFmtId="0" fontId="15" fillId="3" borderId="28"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7" xfId="0" applyFont="1" applyFill="1" applyBorder="1" applyAlignment="1">
      <alignment horizontal="center" vertical="center"/>
    </xf>
    <xf numFmtId="3" fontId="5" fillId="18" borderId="14" xfId="0" applyNumberFormat="1" applyFont="1" applyFill="1" applyBorder="1" applyAlignment="1">
      <alignment horizontal="center" vertical="center"/>
    </xf>
    <xf numFmtId="176" fontId="51" fillId="18" borderId="6" xfId="16" applyNumberFormat="1" applyFont="1" applyFill="1" applyBorder="1" applyAlignment="1" applyProtection="1">
      <alignment horizontal="center" vertical="center"/>
      <protection hidden="1"/>
    </xf>
    <xf numFmtId="0" fontId="62" fillId="14" borderId="15" xfId="35" applyFont="1" applyFill="1" applyBorder="1" applyAlignment="1">
      <alignment horizontal="center"/>
    </xf>
    <xf numFmtId="190" fontId="62" fillId="14" borderId="1" xfId="35" applyNumberFormat="1" applyFont="1" applyFill="1" applyBorder="1" applyAlignment="1">
      <alignment horizontal="center"/>
    </xf>
    <xf numFmtId="190" fontId="62" fillId="14" borderId="14" xfId="35" applyNumberFormat="1" applyFont="1" applyFill="1" applyBorder="1" applyAlignment="1">
      <alignment horizontal="center"/>
    </xf>
    <xf numFmtId="190" fontId="62" fillId="14" borderId="13" xfId="35" applyNumberFormat="1" applyFont="1" applyFill="1" applyBorder="1" applyAlignment="1">
      <alignment horizontal="center"/>
    </xf>
    <xf numFmtId="190" fontId="62" fillId="14" borderId="16" xfId="35" applyNumberFormat="1" applyFont="1" applyFill="1" applyBorder="1" applyAlignment="1">
      <alignment horizontal="center"/>
    </xf>
    <xf numFmtId="0" fontId="62" fillId="14" borderId="7" xfId="35" applyFont="1" applyFill="1" applyBorder="1" applyAlignment="1">
      <alignment horizontal="center"/>
    </xf>
    <xf numFmtId="190" fontId="62" fillId="14" borderId="7" xfId="35" applyNumberFormat="1" applyFont="1" applyFill="1" applyBorder="1" applyAlignment="1">
      <alignment horizontal="center"/>
    </xf>
    <xf numFmtId="190" fontId="62" fillId="14" borderId="8" xfId="35" applyNumberFormat="1" applyFont="1" applyFill="1" applyBorder="1" applyAlignment="1">
      <alignment horizontal="center"/>
    </xf>
    <xf numFmtId="14" fontId="63" fillId="30" borderId="52" xfId="0" applyNumberFormat="1" applyFont="1" applyFill="1" applyBorder="1" applyProtection="1">
      <protection locked="0"/>
    </xf>
    <xf numFmtId="4" fontId="63" fillId="30" borderId="57" xfId="0" applyNumberFormat="1" applyFont="1" applyFill="1" applyBorder="1" applyProtection="1">
      <protection locked="0"/>
    </xf>
    <xf numFmtId="4" fontId="64" fillId="30" borderId="1" xfId="35" applyNumberFormat="1" applyFont="1" applyFill="1" applyBorder="1"/>
    <xf numFmtId="4" fontId="64" fillId="30" borderId="14" xfId="35" applyNumberFormat="1" applyFont="1" applyFill="1" applyBorder="1"/>
    <xf numFmtId="14" fontId="63" fillId="0" borderId="55" xfId="0" applyNumberFormat="1" applyFont="1" applyBorder="1" applyProtection="1">
      <protection locked="0"/>
    </xf>
    <xf numFmtId="2" fontId="63" fillId="0" borderId="57" xfId="0" applyNumberFormat="1" applyFont="1" applyBorder="1" applyProtection="1">
      <protection locked="0"/>
    </xf>
    <xf numFmtId="2" fontId="64" fillId="0" borderId="1" xfId="35" applyNumberFormat="1" applyFont="1" applyBorder="1"/>
    <xf numFmtId="2" fontId="64" fillId="0" borderId="14" xfId="35" applyNumberFormat="1" applyFont="1" applyBorder="1"/>
    <xf numFmtId="4" fontId="64" fillId="0" borderId="1" xfId="35" applyNumberFormat="1" applyFont="1" applyBorder="1"/>
    <xf numFmtId="4" fontId="64" fillId="0" borderId="6" xfId="35" applyNumberFormat="1" applyFont="1" applyBorder="1"/>
    <xf numFmtId="4" fontId="64" fillId="0" borderId="14" xfId="35" applyNumberFormat="1" applyFont="1" applyBorder="1"/>
    <xf numFmtId="14" fontId="63" fillId="30" borderId="15" xfId="0" applyNumberFormat="1" applyFont="1" applyFill="1" applyBorder="1" applyProtection="1">
      <protection locked="0"/>
    </xf>
    <xf numFmtId="4" fontId="63" fillId="30" borderId="1" xfId="0" applyNumberFormat="1" applyFont="1" applyFill="1" applyBorder="1" applyProtection="1">
      <protection locked="0"/>
    </xf>
    <xf numFmtId="14" fontId="63" fillId="0" borderId="7" xfId="0" applyNumberFormat="1" applyFont="1" applyBorder="1" applyProtection="1">
      <protection locked="0"/>
    </xf>
    <xf numFmtId="2" fontId="63" fillId="0" borderId="1" xfId="0" applyNumberFormat="1" applyFont="1" applyBorder="1" applyProtection="1">
      <protection locked="0"/>
    </xf>
    <xf numFmtId="14" fontId="65" fillId="0" borderId="7" xfId="0" applyNumberFormat="1" applyFont="1" applyBorder="1" applyProtection="1">
      <protection locked="0"/>
    </xf>
    <xf numFmtId="2" fontId="65" fillId="0" borderId="1" xfId="0" applyNumberFormat="1" applyFont="1" applyBorder="1" applyProtection="1">
      <protection locked="0"/>
    </xf>
    <xf numFmtId="4" fontId="66" fillId="0" borderId="1" xfId="35" applyNumberFormat="1" applyFont="1" applyBorder="1"/>
    <xf numFmtId="4" fontId="66" fillId="0" borderId="6" xfId="35" applyNumberFormat="1" applyFont="1" applyBorder="1"/>
    <xf numFmtId="4" fontId="63" fillId="0" borderId="1" xfId="0" applyNumberFormat="1" applyFont="1" applyBorder="1" applyProtection="1">
      <protection locked="0"/>
    </xf>
    <xf numFmtId="14" fontId="63" fillId="30" borderId="82" xfId="0" applyNumberFormat="1" applyFont="1" applyFill="1" applyBorder="1" applyProtection="1">
      <protection locked="0"/>
    </xf>
    <xf numFmtId="4" fontId="63" fillId="30" borderId="83" xfId="0" applyNumberFormat="1" applyFont="1" applyFill="1" applyBorder="1" applyProtection="1">
      <protection locked="0"/>
    </xf>
    <xf numFmtId="4" fontId="64" fillId="30" borderId="18" xfId="35" applyNumberFormat="1" applyFont="1" applyFill="1" applyBorder="1"/>
    <xf numFmtId="4" fontId="64" fillId="30" borderId="19" xfId="35" applyNumberFormat="1" applyFont="1" applyFill="1" applyBorder="1"/>
    <xf numFmtId="14" fontId="63" fillId="0" borderId="84" xfId="0" applyNumberFormat="1" applyFont="1" applyBorder="1" applyProtection="1">
      <protection locked="0"/>
    </xf>
    <xf numFmtId="4" fontId="63" fillId="0" borderId="83" xfId="0" applyNumberFormat="1" applyFont="1" applyBorder="1" applyProtection="1">
      <protection locked="0"/>
    </xf>
    <xf numFmtId="2" fontId="64" fillId="0" borderId="18" xfId="35" applyNumberFormat="1" applyFont="1" applyBorder="1"/>
    <xf numFmtId="2" fontId="64" fillId="0" borderId="19" xfId="35" applyNumberFormat="1" applyFont="1" applyBorder="1"/>
    <xf numFmtId="4" fontId="64" fillId="30" borderId="74" xfId="35" applyNumberFormat="1" applyFont="1" applyFill="1" applyBorder="1"/>
    <xf numFmtId="4" fontId="64" fillId="30" borderId="75" xfId="35" applyNumberFormat="1" applyFont="1" applyFill="1" applyBorder="1"/>
    <xf numFmtId="4" fontId="64" fillId="30" borderId="78" xfId="35" applyNumberFormat="1" applyFont="1" applyFill="1" applyBorder="1"/>
    <xf numFmtId="0" fontId="62" fillId="14" borderId="77" xfId="35" applyFont="1" applyFill="1" applyBorder="1" applyAlignment="1">
      <alignment horizontal="center"/>
    </xf>
    <xf numFmtId="2" fontId="62" fillId="14" borderId="72" xfId="35" applyNumberFormat="1" applyFont="1" applyFill="1" applyBorder="1"/>
    <xf numFmtId="2" fontId="62" fillId="14" borderId="74" xfId="35" applyNumberFormat="1" applyFont="1" applyFill="1" applyBorder="1"/>
    <xf numFmtId="2" fontId="62" fillId="14" borderId="77" xfId="35" applyNumberFormat="1" applyFont="1" applyFill="1" applyBorder="1"/>
    <xf numFmtId="2" fontId="62" fillId="14" borderId="30" xfId="35" applyNumberFormat="1" applyFont="1" applyFill="1" applyBorder="1"/>
    <xf numFmtId="0" fontId="62" fillId="14" borderId="75" xfId="35" applyFont="1" applyFill="1" applyBorder="1" applyAlignment="1">
      <alignment horizontal="center"/>
    </xf>
    <xf numFmtId="0" fontId="62" fillId="14" borderId="59" xfId="35" applyFont="1" applyFill="1" applyBorder="1" applyAlignment="1">
      <alignment horizontal="center"/>
    </xf>
    <xf numFmtId="2" fontId="62" fillId="14" borderId="70" xfId="35" applyNumberFormat="1" applyFont="1" applyFill="1" applyBorder="1"/>
    <xf numFmtId="2" fontId="62" fillId="14" borderId="71" xfId="35" applyNumberFormat="1" applyFont="1" applyFill="1" applyBorder="1"/>
    <xf numFmtId="2" fontId="62" fillId="14" borderId="0" xfId="35" applyNumberFormat="1" applyFont="1" applyFill="1"/>
    <xf numFmtId="0" fontId="62" fillId="14" borderId="52" xfId="35" applyFont="1" applyFill="1" applyBorder="1" applyAlignment="1">
      <alignment horizontal="center"/>
    </xf>
    <xf numFmtId="190" fontId="62" fillId="14" borderId="57" xfId="35" applyNumberFormat="1" applyFont="1" applyFill="1" applyBorder="1" applyAlignment="1">
      <alignment horizontal="center"/>
    </xf>
    <xf numFmtId="190" fontId="62" fillId="14" borderId="58" xfId="35" applyNumberFormat="1" applyFont="1" applyFill="1" applyBorder="1" applyAlignment="1">
      <alignment horizontal="center"/>
    </xf>
    <xf numFmtId="190" fontId="62" fillId="14" borderId="47" xfId="35" applyNumberFormat="1" applyFont="1" applyFill="1" applyBorder="1" applyAlignment="1">
      <alignment horizontal="center"/>
    </xf>
    <xf numFmtId="190" fontId="62" fillId="14" borderId="49" xfId="35" applyNumberFormat="1" applyFont="1" applyFill="1" applyBorder="1" applyAlignment="1">
      <alignment horizontal="center"/>
    </xf>
    <xf numFmtId="4" fontId="64" fillId="0" borderId="18" xfId="35" applyNumberFormat="1" applyFont="1" applyBorder="1"/>
    <xf numFmtId="4" fontId="64" fillId="0" borderId="19" xfId="35" applyNumberFormat="1" applyFont="1" applyBorder="1"/>
    <xf numFmtId="2" fontId="62" fillId="14" borderId="75" xfId="35" applyNumberFormat="1" applyFont="1" applyFill="1" applyBorder="1"/>
    <xf numFmtId="0" fontId="67" fillId="0" borderId="0" xfId="35" applyFont="1"/>
    <xf numFmtId="14" fontId="64" fillId="30" borderId="15" xfId="35" applyNumberFormat="1" applyFont="1" applyFill="1" applyBorder="1" applyProtection="1">
      <protection locked="0"/>
    </xf>
    <xf numFmtId="4" fontId="64" fillId="30" borderId="1" xfId="35" applyNumberFormat="1" applyFont="1" applyFill="1" applyBorder="1" applyProtection="1">
      <protection locked="0"/>
    </xf>
    <xf numFmtId="14" fontId="64" fillId="0" borderId="7" xfId="35" applyNumberFormat="1" applyFont="1" applyBorder="1" applyProtection="1">
      <protection locked="0"/>
    </xf>
    <xf numFmtId="2" fontId="64" fillId="0" borderId="1" xfId="35" applyNumberFormat="1" applyFont="1" applyBorder="1" applyProtection="1">
      <protection locked="0"/>
    </xf>
    <xf numFmtId="4" fontId="64" fillId="0" borderId="1" xfId="35" applyNumberFormat="1" applyFont="1" applyBorder="1" applyProtection="1">
      <protection locked="0"/>
    </xf>
    <xf numFmtId="14" fontId="64" fillId="30" borderId="17" xfId="35" applyNumberFormat="1" applyFont="1" applyFill="1" applyBorder="1" applyProtection="1">
      <protection locked="0"/>
    </xf>
    <xf numFmtId="4" fontId="64" fillId="30" borderId="18" xfId="35" applyNumberFormat="1" applyFont="1" applyFill="1" applyBorder="1" applyProtection="1">
      <protection locked="0"/>
    </xf>
    <xf numFmtId="14" fontId="64" fillId="0" borderId="15" xfId="35" applyNumberFormat="1" applyFont="1" applyBorder="1" applyProtection="1">
      <protection locked="0"/>
    </xf>
    <xf numFmtId="14" fontId="64" fillId="0" borderId="17" xfId="35" applyNumberFormat="1" applyFont="1" applyBorder="1" applyProtection="1">
      <protection locked="0"/>
    </xf>
    <xf numFmtId="4" fontId="64" fillId="0" borderId="18" xfId="35" applyNumberFormat="1" applyFont="1" applyBorder="1" applyProtection="1">
      <protection locked="0"/>
    </xf>
    <xf numFmtId="0" fontId="64" fillId="0" borderId="0" xfId="35" applyFont="1"/>
    <xf numFmtId="4" fontId="64" fillId="0" borderId="0" xfId="35" applyNumberFormat="1" applyFont="1"/>
    <xf numFmtId="0" fontId="70" fillId="15" borderId="0" xfId="0" applyFont="1" applyFill="1"/>
    <xf numFmtId="0" fontId="64" fillId="0" borderId="1" xfId="35" applyFont="1" applyBorder="1"/>
    <xf numFmtId="4" fontId="64" fillId="0" borderId="1" xfId="35" applyNumberFormat="1" applyFont="1" applyBorder="1" applyAlignment="1">
      <alignment horizontal="center"/>
    </xf>
    <xf numFmtId="43" fontId="64" fillId="18" borderId="1" xfId="34" applyFont="1" applyFill="1" applyBorder="1"/>
    <xf numFmtId="187" fontId="62" fillId="28" borderId="1" xfId="34" applyNumberFormat="1" applyFont="1" applyFill="1" applyBorder="1"/>
    <xf numFmtId="0" fontId="15" fillId="15" borderId="2" xfId="0" applyFont="1" applyFill="1" applyBorder="1"/>
    <xf numFmtId="0" fontId="7" fillId="15" borderId="53" xfId="0" applyFont="1" applyFill="1" applyBorder="1"/>
    <xf numFmtId="0" fontId="7" fillId="15" borderId="3" xfId="0" applyFont="1" applyFill="1" applyBorder="1"/>
    <xf numFmtId="0" fontId="5" fillId="15" borderId="54" xfId="0" applyFont="1" applyFill="1" applyBorder="1"/>
    <xf numFmtId="0" fontId="7" fillId="18" borderId="48" xfId="0" applyFont="1" applyFill="1" applyBorder="1"/>
    <xf numFmtId="0" fontId="5" fillId="18" borderId="48" xfId="0" applyFont="1" applyFill="1" applyBorder="1"/>
    <xf numFmtId="0" fontId="7" fillId="15" borderId="48" xfId="0" applyFont="1" applyFill="1" applyBorder="1"/>
    <xf numFmtId="0" fontId="7" fillId="15" borderId="55" xfId="0" applyFont="1" applyFill="1" applyBorder="1"/>
    <xf numFmtId="0" fontId="15" fillId="3" borderId="13"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7" xfId="0" applyFont="1" applyFill="1" applyBorder="1" applyAlignment="1">
      <alignment horizontal="center" vertical="center"/>
    </xf>
    <xf numFmtId="0" fontId="46" fillId="3" borderId="52" xfId="16" applyFont="1" applyFill="1" applyBorder="1" applyAlignment="1" applyProtection="1">
      <alignment horizontal="center" vertical="center" wrapText="1"/>
      <protection hidden="1"/>
    </xf>
    <xf numFmtId="0" fontId="46" fillId="3" borderId="54" xfId="16" applyFont="1" applyFill="1" applyBorder="1" applyAlignment="1" applyProtection="1">
      <alignment horizontal="center" vertical="center" wrapText="1"/>
      <protection hidden="1"/>
    </xf>
    <xf numFmtId="0" fontId="46" fillId="3" borderId="58" xfId="16" applyFont="1" applyFill="1" applyBorder="1" applyAlignment="1" applyProtection="1">
      <alignment horizontal="center" vertical="center" wrapText="1"/>
      <protection hidden="1"/>
    </xf>
    <xf numFmtId="0" fontId="46" fillId="3" borderId="57" xfId="16" applyFont="1" applyFill="1" applyBorder="1" applyAlignment="1" applyProtection="1">
      <alignment horizontal="center" vertical="center" wrapText="1"/>
      <protection hidden="1"/>
    </xf>
    <xf numFmtId="3" fontId="5" fillId="18" borderId="19" xfId="0" applyNumberFormat="1" applyFont="1" applyFill="1" applyBorder="1" applyAlignment="1">
      <alignment horizontal="center" vertical="center"/>
    </xf>
    <xf numFmtId="0" fontId="5" fillId="5" borderId="65" xfId="0" applyFont="1" applyFill="1" applyBorder="1" applyAlignment="1">
      <alignment horizontal="center" vertical="center" wrapText="1"/>
    </xf>
    <xf numFmtId="0" fontId="46" fillId="3" borderId="4" xfId="16" applyFont="1" applyFill="1" applyBorder="1" applyAlignment="1" applyProtection="1">
      <alignment horizontal="center" vertical="center" wrapText="1"/>
      <protection hidden="1"/>
    </xf>
    <xf numFmtId="0" fontId="46" fillId="22" borderId="6" xfId="16" applyFont="1" applyFill="1" applyBorder="1" applyAlignment="1" applyProtection="1">
      <alignment horizontal="center" vertical="center" wrapText="1"/>
      <protection hidden="1"/>
    </xf>
    <xf numFmtId="0" fontId="47" fillId="20" borderId="61" xfId="16" applyFont="1" applyFill="1" applyBorder="1" applyAlignment="1" applyProtection="1">
      <alignment horizontal="center" vertical="center"/>
      <protection hidden="1"/>
    </xf>
    <xf numFmtId="0" fontId="46" fillId="3" borderId="77" xfId="16" applyFont="1" applyFill="1" applyBorder="1" applyAlignment="1" applyProtection="1">
      <alignment horizontal="center" vertical="center" wrapText="1"/>
      <protection hidden="1"/>
    </xf>
    <xf numFmtId="0" fontId="46" fillId="3" borderId="78" xfId="16" applyFont="1" applyFill="1" applyBorder="1" applyAlignment="1" applyProtection="1">
      <alignment horizontal="center" vertical="center" wrapText="1"/>
      <protection hidden="1"/>
    </xf>
    <xf numFmtId="169" fontId="38" fillId="0" borderId="70" xfId="3" applyNumberFormat="1" applyFont="1" applyBorder="1" applyAlignment="1" applyProtection="1">
      <alignment horizontal="center" vertical="center"/>
      <protection hidden="1"/>
    </xf>
    <xf numFmtId="172" fontId="38" fillId="18" borderId="73" xfId="19" applyNumberFormat="1" applyFont="1" applyFill="1" applyBorder="1" applyAlignment="1" applyProtection="1">
      <alignment vertical="center"/>
      <protection hidden="1"/>
    </xf>
    <xf numFmtId="0" fontId="37" fillId="19" borderId="30" xfId="16" applyFont="1" applyFill="1" applyBorder="1" applyAlignment="1" applyProtection="1">
      <alignment horizontal="center" vertical="center" wrapText="1"/>
      <protection hidden="1"/>
    </xf>
    <xf numFmtId="0" fontId="37" fillId="19" borderId="15" xfId="16" applyFont="1" applyFill="1" applyBorder="1" applyAlignment="1" applyProtection="1">
      <alignment horizontal="center" vertical="center" wrapText="1"/>
      <protection hidden="1"/>
    </xf>
    <xf numFmtId="172" fontId="38" fillId="0" borderId="73" xfId="19" applyNumberFormat="1" applyFont="1" applyFill="1" applyBorder="1" applyAlignment="1" applyProtection="1">
      <alignment vertical="center"/>
      <protection hidden="1"/>
    </xf>
    <xf numFmtId="172" fontId="38" fillId="0" borderId="72" xfId="19" applyNumberFormat="1" applyFont="1" applyFill="1" applyBorder="1" applyAlignment="1" applyProtection="1">
      <alignment vertical="center"/>
      <protection hidden="1"/>
    </xf>
    <xf numFmtId="169" fontId="38" fillId="0" borderId="1" xfId="16" applyNumberFormat="1" applyFont="1" applyBorder="1" applyAlignment="1" applyProtection="1">
      <alignment vertical="center"/>
      <protection hidden="1"/>
    </xf>
    <xf numFmtId="169" fontId="38" fillId="0" borderId="18" xfId="16" applyNumberFormat="1" applyFont="1" applyBorder="1" applyAlignment="1" applyProtection="1">
      <alignment vertical="center"/>
      <protection hidden="1"/>
    </xf>
    <xf numFmtId="3" fontId="38" fillId="0" borderId="1" xfId="3" applyNumberFormat="1" applyFont="1" applyBorder="1" applyAlignment="1" applyProtection="1">
      <alignment vertical="center"/>
      <protection hidden="1"/>
    </xf>
    <xf numFmtId="0" fontId="46" fillId="3" borderId="2" xfId="16" applyFont="1" applyFill="1" applyBorder="1" applyAlignment="1" applyProtection="1">
      <alignment horizontal="center" vertical="center" wrapText="1"/>
      <protection hidden="1"/>
    </xf>
    <xf numFmtId="0" fontId="46" fillId="3" borderId="3" xfId="16" applyFont="1" applyFill="1" applyBorder="1" applyAlignment="1" applyProtection="1">
      <alignment horizontal="center" vertical="center" wrapText="1"/>
      <protection hidden="1"/>
    </xf>
    <xf numFmtId="0" fontId="16" fillId="0" borderId="0" xfId="10" applyFont="1" applyFill="1">
      <alignment horizontal="left" vertical="center"/>
    </xf>
    <xf numFmtId="0" fontId="5" fillId="0" borderId="0" xfId="0" applyFont="1" applyFill="1"/>
    <xf numFmtId="0" fontId="12" fillId="0" borderId="0" xfId="0" applyFont="1" applyFill="1"/>
    <xf numFmtId="0" fontId="5" fillId="0" borderId="27" xfId="0" applyFont="1" applyFill="1" applyBorder="1" applyAlignment="1">
      <alignment horizontal="center" vertical="center" wrapText="1"/>
    </xf>
    <xf numFmtId="3" fontId="5" fillId="0" borderId="14" xfId="0" applyNumberFormat="1" applyFont="1" applyFill="1" applyBorder="1" applyAlignment="1">
      <alignment horizontal="center" vertical="center"/>
    </xf>
    <xf numFmtId="0" fontId="5" fillId="0" borderId="58" xfId="0" applyFont="1" applyFill="1" applyBorder="1" applyAlignment="1">
      <alignment horizontal="center" vertical="center" wrapText="1"/>
    </xf>
    <xf numFmtId="3" fontId="5" fillId="0" borderId="19" xfId="0" applyNumberFormat="1" applyFont="1" applyFill="1" applyBorder="1" applyAlignment="1">
      <alignment horizontal="center" vertical="center"/>
    </xf>
    <xf numFmtId="0" fontId="5" fillId="3" borderId="23" xfId="0" applyFont="1" applyFill="1" applyBorder="1" applyAlignment="1">
      <alignment horizontal="center" vertical="center"/>
    </xf>
    <xf numFmtId="0" fontId="5" fillId="3" borderId="24" xfId="0" applyFont="1" applyFill="1" applyBorder="1" applyAlignment="1">
      <alignment horizontal="center" vertical="center"/>
    </xf>
    <xf numFmtId="0" fontId="5" fillId="3" borderId="39" xfId="0" applyFont="1" applyFill="1" applyBorder="1" applyAlignment="1">
      <alignment horizontal="center" vertical="center"/>
    </xf>
    <xf numFmtId="44" fontId="5" fillId="18" borderId="14" xfId="4" applyFont="1" applyFill="1" applyBorder="1">
      <alignment vertical="center"/>
    </xf>
    <xf numFmtId="0" fontId="5" fillId="5" borderId="9" xfId="0" applyFont="1" applyFill="1" applyBorder="1" applyAlignment="1">
      <alignment horizontal="center" vertical="center"/>
    </xf>
    <xf numFmtId="0" fontId="50" fillId="3" borderId="61" xfId="16" applyFont="1" applyFill="1" applyBorder="1" applyAlignment="1" applyProtection="1">
      <alignment vertical="center"/>
      <protection hidden="1"/>
    </xf>
    <xf numFmtId="176" fontId="51" fillId="18" borderId="26" xfId="16" applyNumberFormat="1" applyFont="1" applyFill="1" applyBorder="1" applyAlignment="1" applyProtection="1">
      <alignment horizontal="center" vertical="center"/>
      <protection hidden="1"/>
    </xf>
    <xf numFmtId="0" fontId="46" fillId="3" borderId="63" xfId="16" applyFont="1" applyFill="1" applyBorder="1" applyAlignment="1" applyProtection="1">
      <alignment vertical="center"/>
      <protection hidden="1"/>
    </xf>
    <xf numFmtId="0" fontId="46" fillId="3" borderId="59" xfId="16" applyFont="1" applyFill="1" applyBorder="1" applyAlignment="1" applyProtection="1">
      <alignment vertical="center"/>
      <protection hidden="1"/>
    </xf>
    <xf numFmtId="0" fontId="46" fillId="3" borderId="0" xfId="16" applyFont="1" applyFill="1" applyAlignment="1" applyProtection="1">
      <alignment vertical="center"/>
      <protection hidden="1"/>
    </xf>
    <xf numFmtId="0" fontId="46" fillId="3" borderId="50" xfId="16" applyFont="1" applyFill="1" applyBorder="1" applyAlignment="1" applyProtection="1">
      <alignment vertical="center"/>
      <protection hidden="1"/>
    </xf>
    <xf numFmtId="169" fontId="38" fillId="3" borderId="15" xfId="3" quotePrefix="1" applyNumberFormat="1" applyFont="1" applyFill="1" applyBorder="1" applyAlignment="1" applyProtection="1">
      <alignment horizontal="center" vertical="center"/>
      <protection hidden="1"/>
    </xf>
    <xf numFmtId="169" fontId="38" fillId="3" borderId="73" xfId="3" applyNumberFormat="1" applyFont="1" applyFill="1" applyBorder="1" applyAlignment="1" applyProtection="1">
      <alignment horizontal="center" vertical="center"/>
      <protection hidden="1"/>
    </xf>
    <xf numFmtId="169" fontId="38" fillId="3" borderId="26" xfId="3" quotePrefix="1" applyNumberFormat="1" applyFont="1" applyFill="1" applyBorder="1" applyAlignment="1" applyProtection="1">
      <alignment horizontal="center" vertical="center"/>
      <protection hidden="1"/>
    </xf>
    <xf numFmtId="169" fontId="38" fillId="3" borderId="1" xfId="3" quotePrefix="1" applyNumberFormat="1" applyFont="1" applyFill="1" applyBorder="1" applyAlignment="1" applyProtection="1">
      <alignment horizontal="center" vertical="center"/>
      <protection hidden="1"/>
    </xf>
    <xf numFmtId="170" fontId="48" fillId="18" borderId="58" xfId="19" applyNumberFormat="1" applyFont="1" applyFill="1" applyBorder="1" applyAlignment="1" applyProtection="1">
      <alignment horizontal="center" vertical="center" wrapText="1"/>
      <protection hidden="1"/>
    </xf>
    <xf numFmtId="0" fontId="50" fillId="3" borderId="63" xfId="16" applyFont="1" applyFill="1" applyBorder="1" applyAlignment="1" applyProtection="1">
      <alignment vertical="center"/>
      <protection hidden="1"/>
    </xf>
    <xf numFmtId="0" fontId="36" fillId="11" borderId="26" xfId="16" applyFont="1" applyFill="1" applyBorder="1" applyAlignment="1" applyProtection="1">
      <alignment horizontal="center" vertical="center" wrapText="1"/>
      <protection hidden="1"/>
    </xf>
    <xf numFmtId="0" fontId="36" fillId="22" borderId="26" xfId="16" applyFont="1" applyFill="1" applyBorder="1" applyAlignment="1" applyProtection="1">
      <alignment horizontal="center" vertical="center" wrapText="1"/>
      <protection hidden="1"/>
    </xf>
    <xf numFmtId="0" fontId="36" fillId="3" borderId="27" xfId="16" applyFont="1" applyFill="1" applyBorder="1" applyAlignment="1" applyProtection="1">
      <alignment horizontal="center" vertical="center" wrapText="1"/>
      <protection hidden="1"/>
    </xf>
    <xf numFmtId="0" fontId="46" fillId="3" borderId="25" xfId="16" applyFont="1" applyFill="1" applyBorder="1" applyAlignment="1" applyProtection="1">
      <alignment vertical="center" wrapText="1"/>
      <protection hidden="1"/>
    </xf>
    <xf numFmtId="0" fontId="36" fillId="11" borderId="18" xfId="16" applyFont="1" applyFill="1" applyBorder="1" applyAlignment="1" applyProtection="1">
      <alignment horizontal="center" vertical="center" wrapText="1"/>
      <protection hidden="1"/>
    </xf>
    <xf numFmtId="0" fontId="36" fillId="22" borderId="18" xfId="16" applyFont="1" applyFill="1" applyBorder="1" applyAlignment="1" applyProtection="1">
      <alignment horizontal="center" vertical="center" wrapText="1"/>
      <protection hidden="1"/>
    </xf>
    <xf numFmtId="0" fontId="46" fillId="3" borderId="31" xfId="16" applyFont="1" applyFill="1" applyBorder="1" applyAlignment="1" applyProtection="1">
      <alignment vertical="center" wrapText="1"/>
      <protection hidden="1"/>
    </xf>
    <xf numFmtId="0" fontId="53" fillId="0" borderId="25" xfId="17" applyFont="1" applyBorder="1" applyAlignment="1">
      <alignment horizontal="center" vertical="center"/>
    </xf>
    <xf numFmtId="182" fontId="5" fillId="5" borderId="72" xfId="34" applyNumberFormat="1" applyFont="1" applyFill="1" applyBorder="1" applyAlignment="1">
      <alignment horizontal="center" vertical="center"/>
    </xf>
    <xf numFmtId="3" fontId="12" fillId="6" borderId="33" xfId="8" applyFill="1" applyBorder="1">
      <alignment horizontal="center" vertical="center"/>
    </xf>
    <xf numFmtId="0" fontId="5" fillId="5" borderId="20" xfId="0" applyFont="1" applyFill="1" applyBorder="1"/>
    <xf numFmtId="0" fontId="12" fillId="5" borderId="40" xfId="0" applyFont="1" applyFill="1" applyBorder="1"/>
    <xf numFmtId="3" fontId="12" fillId="5" borderId="40" xfId="0" applyNumberFormat="1" applyFont="1" applyFill="1" applyBorder="1" applyAlignment="1">
      <alignment horizontal="center"/>
    </xf>
    <xf numFmtId="3" fontId="12" fillId="18" borderId="26" xfId="8" applyNumberFormat="1" applyFill="1" applyBorder="1">
      <alignment horizontal="center" vertical="center"/>
    </xf>
    <xf numFmtId="3" fontId="12" fillId="18" borderId="27" xfId="8" applyNumberFormat="1" applyFill="1" applyBorder="1">
      <alignment horizontal="center" vertical="center"/>
    </xf>
    <xf numFmtId="3" fontId="12" fillId="18" borderId="1" xfId="8" applyNumberFormat="1" applyFill="1" applyBorder="1">
      <alignment horizontal="center" vertical="center"/>
    </xf>
    <xf numFmtId="3" fontId="12" fillId="18" borderId="14" xfId="8" applyNumberFormat="1" applyFill="1" applyBorder="1">
      <alignment horizontal="center" vertical="center"/>
    </xf>
    <xf numFmtId="3" fontId="5" fillId="18" borderId="18" xfId="0" applyNumberFormat="1" applyFont="1" applyFill="1" applyBorder="1" applyAlignment="1">
      <alignment horizontal="center" vertical="center"/>
    </xf>
    <xf numFmtId="3" fontId="5" fillId="18" borderId="72" xfId="34" applyNumberFormat="1" applyFont="1" applyFill="1" applyBorder="1" applyAlignment="1">
      <alignment horizontal="center" vertical="center"/>
    </xf>
    <xf numFmtId="3" fontId="12" fillId="18" borderId="74" xfId="8" applyNumberFormat="1" applyFill="1" applyBorder="1" applyAlignment="1">
      <alignment horizontal="center" vertical="center"/>
    </xf>
    <xf numFmtId="3" fontId="12" fillId="5" borderId="78" xfId="0" applyNumberFormat="1" applyFont="1" applyFill="1" applyBorder="1" applyAlignment="1">
      <alignment horizontal="center"/>
    </xf>
    <xf numFmtId="44" fontId="5" fillId="15" borderId="0" xfId="36" applyFont="1" applyFill="1"/>
    <xf numFmtId="0" fontId="46" fillId="23" borderId="76" xfId="16" applyFont="1" applyFill="1" applyBorder="1" applyAlignment="1" applyProtection="1">
      <alignment horizontal="center" vertical="center" wrapText="1"/>
      <protection hidden="1"/>
    </xf>
    <xf numFmtId="3" fontId="37" fillId="20" borderId="30" xfId="16" applyNumberFormat="1" applyFont="1" applyFill="1" applyBorder="1" applyAlignment="1" applyProtection="1">
      <alignment horizontal="center" vertical="center"/>
      <protection hidden="1"/>
    </xf>
    <xf numFmtId="0" fontId="46" fillId="24" borderId="2" xfId="16" applyFont="1" applyFill="1" applyBorder="1" applyAlignment="1" applyProtection="1">
      <alignment horizontal="center" vertical="center" wrapText="1"/>
      <protection hidden="1"/>
    </xf>
    <xf numFmtId="172" fontId="37" fillId="20" borderId="72" xfId="19" applyNumberFormat="1" applyFont="1" applyFill="1" applyBorder="1" applyAlignment="1" applyProtection="1">
      <alignment horizontal="center" vertical="center"/>
      <protection hidden="1"/>
    </xf>
    <xf numFmtId="0" fontId="46" fillId="23" borderId="2" xfId="16" applyFont="1" applyFill="1" applyBorder="1" applyAlignment="1" applyProtection="1">
      <alignment horizontal="center" vertical="center" wrapText="1"/>
      <protection hidden="1"/>
    </xf>
    <xf numFmtId="0" fontId="46" fillId="24" borderId="43" xfId="16" applyFont="1" applyFill="1" applyBorder="1" applyAlignment="1" applyProtection="1">
      <alignment horizontal="center" vertical="center" wrapText="1"/>
      <protection hidden="1"/>
    </xf>
    <xf numFmtId="3" fontId="37" fillId="20" borderId="72" xfId="16" applyNumberFormat="1" applyFont="1" applyFill="1" applyBorder="1" applyAlignment="1" applyProtection="1">
      <alignment vertical="center"/>
      <protection hidden="1"/>
    </xf>
    <xf numFmtId="4" fontId="37" fillId="20" borderId="29" xfId="16" applyNumberFormat="1" applyFont="1" applyFill="1" applyBorder="1" applyAlignment="1" applyProtection="1">
      <alignment vertical="center"/>
      <protection hidden="1"/>
    </xf>
    <xf numFmtId="0" fontId="46" fillId="25" borderId="34" xfId="16" applyFont="1" applyFill="1" applyBorder="1" applyAlignment="1" applyProtection="1">
      <alignment horizontal="center" vertical="center" wrapText="1"/>
      <protection hidden="1"/>
    </xf>
    <xf numFmtId="169" fontId="37" fillId="20" borderId="74" xfId="19" applyNumberFormat="1" applyFont="1" applyFill="1" applyBorder="1" applyAlignment="1" applyProtection="1">
      <alignment horizontal="center" vertical="center"/>
      <protection hidden="1"/>
    </xf>
    <xf numFmtId="171" fontId="37" fillId="20" borderId="74" xfId="19" applyNumberFormat="1" applyFont="1" applyFill="1" applyBorder="1" applyAlignment="1" applyProtection="1">
      <alignment horizontal="center" vertical="center"/>
      <protection hidden="1"/>
    </xf>
    <xf numFmtId="171" fontId="38" fillId="0" borderId="33" xfId="16" applyNumberFormat="1" applyFont="1" applyBorder="1" applyAlignment="1" applyProtection="1">
      <alignment vertical="center"/>
      <protection hidden="1"/>
    </xf>
    <xf numFmtId="171" fontId="38" fillId="0" borderId="37" xfId="16" applyNumberFormat="1" applyFont="1" applyBorder="1" applyAlignment="1" applyProtection="1">
      <alignment vertical="center"/>
      <protection hidden="1"/>
    </xf>
    <xf numFmtId="171" fontId="38" fillId="0" borderId="38" xfId="16" applyNumberFormat="1" applyFont="1" applyBorder="1" applyAlignment="1" applyProtection="1">
      <alignment vertical="center"/>
      <protection hidden="1"/>
    </xf>
    <xf numFmtId="44" fontId="38" fillId="15" borderId="31" xfId="21" applyFont="1" applyFill="1" applyBorder="1" applyAlignment="1" applyProtection="1">
      <alignment horizontal="center" vertical="center"/>
      <protection hidden="1"/>
    </xf>
    <xf numFmtId="44" fontId="38" fillId="15" borderId="6" xfId="21" applyFont="1" applyFill="1" applyBorder="1" applyAlignment="1" applyProtection="1">
      <alignment horizontal="center" vertical="center"/>
      <protection hidden="1"/>
    </xf>
    <xf numFmtId="44" fontId="38" fillId="15" borderId="29" xfId="21" applyFont="1" applyFill="1" applyBorder="1" applyAlignment="1" applyProtection="1">
      <alignment horizontal="center" vertical="center"/>
      <protection hidden="1"/>
    </xf>
    <xf numFmtId="169" fontId="38" fillId="0" borderId="25" xfId="16" applyNumberFormat="1" applyFont="1" applyBorder="1" applyAlignment="1" applyProtection="1">
      <alignment vertical="center"/>
      <protection hidden="1"/>
    </xf>
    <xf numFmtId="169" fontId="38" fillId="0" borderId="26" xfId="16" applyNumberFormat="1" applyFont="1" applyBorder="1" applyAlignment="1" applyProtection="1">
      <alignment vertical="center"/>
      <protection hidden="1"/>
    </xf>
    <xf numFmtId="169" fontId="38" fillId="0" borderId="15" xfId="16" applyNumberFormat="1" applyFont="1" applyBorder="1" applyAlignment="1" applyProtection="1">
      <alignment vertical="center"/>
      <protection hidden="1"/>
    </xf>
    <xf numFmtId="169" fontId="38" fillId="0" borderId="17" xfId="16" applyNumberFormat="1" applyFont="1" applyBorder="1" applyAlignment="1" applyProtection="1">
      <alignment vertical="center"/>
      <protection hidden="1"/>
    </xf>
    <xf numFmtId="0" fontId="53" fillId="3" borderId="57" xfId="17" quotePrefix="1" applyFont="1" applyFill="1" applyBorder="1" applyAlignment="1">
      <alignment horizontal="center" vertical="center"/>
    </xf>
    <xf numFmtId="0" fontId="46" fillId="3" borderId="17" xfId="16" applyFont="1" applyFill="1" applyBorder="1" applyAlignment="1" applyProtection="1">
      <alignment vertical="center"/>
      <protection hidden="1"/>
    </xf>
    <xf numFmtId="0" fontId="46" fillId="3" borderId="32" xfId="16" applyFont="1" applyFill="1" applyBorder="1" applyAlignment="1" applyProtection="1">
      <alignment vertical="center"/>
      <protection hidden="1"/>
    </xf>
    <xf numFmtId="0" fontId="46" fillId="3" borderId="36" xfId="16" applyFont="1" applyFill="1" applyBorder="1" applyAlignment="1" applyProtection="1">
      <alignment vertical="center"/>
      <protection hidden="1"/>
    </xf>
    <xf numFmtId="0" fontId="53" fillId="3" borderId="52" xfId="17" quotePrefix="1" applyFont="1" applyFill="1" applyBorder="1" applyAlignment="1">
      <alignment horizontal="center" vertical="center"/>
    </xf>
    <xf numFmtId="0" fontId="53" fillId="3" borderId="58" xfId="17" quotePrefix="1" applyFont="1" applyFill="1" applyBorder="1" applyAlignment="1">
      <alignment horizontal="center" vertical="center"/>
    </xf>
    <xf numFmtId="0" fontId="53" fillId="3" borderId="73" xfId="17" quotePrefix="1" applyFont="1" applyFill="1" applyBorder="1" applyAlignment="1">
      <alignment horizontal="center" vertical="center"/>
    </xf>
    <xf numFmtId="0" fontId="53" fillId="3" borderId="72" xfId="17" quotePrefix="1" applyFont="1" applyFill="1" applyBorder="1" applyAlignment="1">
      <alignment horizontal="center" vertical="center"/>
    </xf>
    <xf numFmtId="0" fontId="46" fillId="3" borderId="20" xfId="16" applyFont="1" applyFill="1" applyBorder="1" applyAlignment="1" applyProtection="1">
      <alignment vertical="center"/>
      <protection hidden="1"/>
    </xf>
    <xf numFmtId="0" fontId="46" fillId="3" borderId="61" xfId="16" applyFont="1" applyFill="1" applyBorder="1" applyAlignment="1" applyProtection="1">
      <alignment vertical="center"/>
      <protection hidden="1"/>
    </xf>
    <xf numFmtId="0" fontId="46" fillId="3" borderId="62" xfId="16" applyFont="1" applyFill="1" applyBorder="1" applyAlignment="1" applyProtection="1">
      <alignment vertical="center"/>
      <protection hidden="1"/>
    </xf>
    <xf numFmtId="0" fontId="46" fillId="3" borderId="76" xfId="16" applyFont="1" applyFill="1" applyBorder="1" applyAlignment="1" applyProtection="1">
      <alignment horizontal="left" vertical="center"/>
      <protection hidden="1"/>
    </xf>
    <xf numFmtId="0" fontId="5" fillId="0" borderId="0" xfId="17" applyFont="1"/>
    <xf numFmtId="0" fontId="5" fillId="0" borderId="17" xfId="17" applyFont="1" applyBorder="1"/>
    <xf numFmtId="0" fontId="5" fillId="3" borderId="19" xfId="17" applyFont="1" applyFill="1" applyBorder="1"/>
    <xf numFmtId="0" fontId="36" fillId="0" borderId="1" xfId="3" applyFont="1" applyBorder="1" applyAlignment="1" applyProtection="1">
      <alignment horizontal="left" vertical="center"/>
      <protection hidden="1"/>
    </xf>
    <xf numFmtId="0" fontId="71" fillId="0" borderId="1" xfId="17" applyFont="1" applyBorder="1" applyAlignment="1">
      <alignment horizontal="center" vertical="center"/>
    </xf>
    <xf numFmtId="0" fontId="71" fillId="0" borderId="0" xfId="17" applyFont="1"/>
    <xf numFmtId="0" fontId="36" fillId="19" borderId="54" xfId="16" applyFont="1" applyFill="1" applyBorder="1" applyAlignment="1" applyProtection="1">
      <alignment horizontal="center" vertical="center"/>
      <protection hidden="1"/>
    </xf>
    <xf numFmtId="0" fontId="36" fillId="19" borderId="6" xfId="16" applyFont="1" applyFill="1" applyBorder="1" applyAlignment="1" applyProtection="1">
      <alignment horizontal="center" vertical="center"/>
      <protection hidden="1"/>
    </xf>
    <xf numFmtId="0" fontId="36" fillId="19" borderId="32" xfId="16" applyFont="1" applyFill="1" applyBorder="1" applyAlignment="1" applyProtection="1">
      <alignment horizontal="center" vertical="center"/>
      <protection hidden="1"/>
    </xf>
    <xf numFmtId="0" fontId="46" fillId="3" borderId="19" xfId="16" applyFont="1" applyFill="1" applyBorder="1" applyAlignment="1" applyProtection="1">
      <alignment vertical="center"/>
      <protection hidden="1"/>
    </xf>
    <xf numFmtId="0" fontId="53" fillId="3" borderId="15" xfId="17" quotePrefix="1" applyFont="1" applyFill="1" applyBorder="1" applyAlignment="1">
      <alignment horizontal="center" vertical="center"/>
    </xf>
    <xf numFmtId="0" fontId="53" fillId="3" borderId="14" xfId="17" quotePrefix="1" applyFont="1" applyFill="1" applyBorder="1" applyAlignment="1">
      <alignment horizontal="center" vertical="center"/>
    </xf>
    <xf numFmtId="169" fontId="53" fillId="8" borderId="15" xfId="17" applyNumberFormat="1" applyFont="1" applyFill="1" applyBorder="1" applyAlignment="1">
      <alignment horizontal="center" vertical="center"/>
    </xf>
    <xf numFmtId="169" fontId="53" fillId="8" borderId="14" xfId="17" applyNumberFormat="1" applyFont="1" applyFill="1" applyBorder="1" applyAlignment="1">
      <alignment horizontal="center" vertical="center"/>
    </xf>
    <xf numFmtId="169" fontId="53" fillId="8" borderId="17" xfId="17" applyNumberFormat="1" applyFont="1" applyFill="1" applyBorder="1" applyAlignment="1">
      <alignment horizontal="center" vertical="center"/>
    </xf>
    <xf numFmtId="169" fontId="53" fillId="8" borderId="19" xfId="17" applyNumberFormat="1" applyFont="1" applyFill="1" applyBorder="1" applyAlignment="1">
      <alignment horizontal="center" vertical="center"/>
    </xf>
    <xf numFmtId="0" fontId="37" fillId="0" borderId="20" xfId="16" applyFont="1" applyBorder="1" applyAlignment="1" applyProtection="1">
      <alignment horizontal="center" vertical="center" wrapText="1"/>
      <protection hidden="1"/>
    </xf>
    <xf numFmtId="0" fontId="37" fillId="0" borderId="61" xfId="16" applyFont="1" applyBorder="1" applyAlignment="1" applyProtection="1">
      <alignment horizontal="center" vertical="center" wrapText="1"/>
      <protection hidden="1"/>
    </xf>
    <xf numFmtId="172" fontId="37" fillId="0" borderId="61" xfId="16" applyNumberFormat="1" applyFont="1" applyBorder="1" applyAlignment="1" applyProtection="1">
      <alignment horizontal="center" vertical="center" wrapText="1"/>
      <protection hidden="1"/>
    </xf>
    <xf numFmtId="10" fontId="53" fillId="8" borderId="1" xfId="1" applyNumberFormat="1" applyFont="1" applyFill="1" applyBorder="1" applyAlignment="1">
      <alignment horizontal="center" vertical="center"/>
    </xf>
    <xf numFmtId="10" fontId="53" fillId="8" borderId="14" xfId="1" applyNumberFormat="1" applyFont="1" applyFill="1" applyBorder="1" applyAlignment="1">
      <alignment horizontal="center" vertical="center"/>
    </xf>
    <xf numFmtId="176" fontId="49" fillId="19" borderId="31" xfId="16" applyNumberFormat="1" applyFont="1" applyFill="1" applyBorder="1" applyAlignment="1" applyProtection="1">
      <alignment horizontal="center" vertical="center"/>
      <protection hidden="1"/>
    </xf>
    <xf numFmtId="176" fontId="49" fillId="19" borderId="6" xfId="16" applyNumberFormat="1" applyFont="1" applyFill="1" applyBorder="1" applyAlignment="1" applyProtection="1">
      <alignment horizontal="center" vertical="center"/>
      <protection hidden="1"/>
    </xf>
    <xf numFmtId="176" fontId="49" fillId="19" borderId="32" xfId="16" applyNumberFormat="1" applyFont="1" applyFill="1" applyBorder="1" applyAlignment="1" applyProtection="1">
      <alignment horizontal="center" vertical="center"/>
      <protection hidden="1"/>
    </xf>
    <xf numFmtId="171" fontId="52" fillId="19" borderId="33" xfId="19" applyNumberFormat="1" applyFont="1" applyFill="1" applyBorder="1" applyAlignment="1" applyProtection="1">
      <alignment horizontal="center" vertical="center"/>
      <protection hidden="1"/>
    </xf>
    <xf numFmtId="171" fontId="52" fillId="19" borderId="80" xfId="19" applyNumberFormat="1" applyFont="1" applyFill="1" applyBorder="1" applyAlignment="1" applyProtection="1">
      <alignment horizontal="center" vertical="center"/>
      <protection hidden="1"/>
    </xf>
    <xf numFmtId="171" fontId="52" fillId="19" borderId="37" xfId="19" applyNumberFormat="1" applyFont="1" applyFill="1" applyBorder="1" applyAlignment="1" applyProtection="1">
      <alignment horizontal="center" vertical="center"/>
      <protection hidden="1"/>
    </xf>
    <xf numFmtId="171" fontId="52" fillId="19" borderId="36" xfId="19" applyNumberFormat="1" applyFont="1" applyFill="1" applyBorder="1" applyAlignment="1" applyProtection="1">
      <alignment horizontal="center" vertical="center"/>
      <protection hidden="1"/>
    </xf>
    <xf numFmtId="0" fontId="52" fillId="19" borderId="52" xfId="16" applyFont="1" applyFill="1" applyBorder="1" applyAlignment="1" applyProtection="1">
      <alignment horizontal="center" vertical="center" wrapText="1"/>
      <protection hidden="1"/>
    </xf>
    <xf numFmtId="0" fontId="52" fillId="19" borderId="15" xfId="16" applyFont="1" applyFill="1" applyBorder="1" applyAlignment="1" applyProtection="1">
      <alignment horizontal="center" vertical="center" wrapText="1"/>
      <protection hidden="1"/>
    </xf>
    <xf numFmtId="0" fontId="46" fillId="19" borderId="15" xfId="16" applyFont="1" applyFill="1" applyBorder="1" applyAlignment="1" applyProtection="1">
      <alignment horizontal="center" vertical="center" wrapText="1"/>
      <protection hidden="1"/>
    </xf>
    <xf numFmtId="0" fontId="46" fillId="19" borderId="17" xfId="16" applyFont="1" applyFill="1" applyBorder="1" applyAlignment="1" applyProtection="1">
      <alignment horizontal="center" vertical="center" wrapText="1"/>
      <protection hidden="1"/>
    </xf>
    <xf numFmtId="0" fontId="11" fillId="0" borderId="62" xfId="17" applyBorder="1"/>
    <xf numFmtId="0" fontId="72" fillId="0" borderId="52" xfId="17" applyFont="1" applyBorder="1" applyAlignment="1">
      <alignment horizontal="center" vertical="center" wrapText="1"/>
    </xf>
    <xf numFmtId="172" fontId="49" fillId="8" borderId="25" xfId="19" applyNumberFormat="1" applyFont="1" applyFill="1" applyBorder="1" applyAlignment="1" applyProtection="1">
      <alignment horizontal="center" vertical="center"/>
      <protection hidden="1"/>
    </xf>
    <xf numFmtId="172" fontId="49" fillId="8" borderId="12" xfId="19" applyNumberFormat="1" applyFont="1" applyFill="1" applyBorder="1" applyAlignment="1" applyProtection="1">
      <alignment horizontal="center" vertical="center"/>
      <protection hidden="1"/>
    </xf>
    <xf numFmtId="0" fontId="11" fillId="0" borderId="0" xfId="17" applyAlignment="1">
      <alignment horizontal="center"/>
    </xf>
    <xf numFmtId="0" fontId="38" fillId="0" borderId="1" xfId="3" applyFont="1" applyBorder="1" applyAlignment="1" applyProtection="1">
      <alignment horizontal="center" vertical="center"/>
      <protection hidden="1"/>
    </xf>
    <xf numFmtId="0" fontId="44" fillId="0" borderId="0" xfId="17" applyFont="1" applyAlignment="1">
      <alignment horizontal="center"/>
    </xf>
    <xf numFmtId="0" fontId="72" fillId="0" borderId="15" xfId="17" applyFont="1" applyBorder="1" applyAlignment="1">
      <alignment horizontal="center" vertical="center" wrapText="1"/>
    </xf>
    <xf numFmtId="172" fontId="49" fillId="8" borderId="52" xfId="19" applyNumberFormat="1" applyFont="1" applyFill="1" applyBorder="1" applyAlignment="1" applyProtection="1">
      <alignment horizontal="center" vertical="center"/>
      <protection hidden="1"/>
    </xf>
    <xf numFmtId="172" fontId="49" fillId="8" borderId="49" xfId="19" applyNumberFormat="1" applyFont="1" applyFill="1" applyBorder="1" applyAlignment="1" applyProtection="1">
      <alignment horizontal="center" vertical="center"/>
      <protection hidden="1"/>
    </xf>
    <xf numFmtId="172" fontId="49" fillId="8" borderId="15" xfId="19" applyNumberFormat="1" applyFont="1" applyFill="1" applyBorder="1" applyAlignment="1" applyProtection="1">
      <alignment horizontal="center" vertical="center"/>
      <protection hidden="1"/>
    </xf>
    <xf numFmtId="172" fontId="49" fillId="8" borderId="16" xfId="19" applyNumberFormat="1" applyFont="1" applyFill="1" applyBorder="1" applyAlignment="1" applyProtection="1">
      <alignment horizontal="center" vertical="center"/>
      <protection hidden="1"/>
    </xf>
    <xf numFmtId="172" fontId="49" fillId="8" borderId="73" xfId="19" applyNumberFormat="1" applyFont="1" applyFill="1" applyBorder="1" applyAlignment="1" applyProtection="1">
      <alignment horizontal="center" vertical="center"/>
      <protection hidden="1"/>
    </xf>
    <xf numFmtId="172" fontId="49" fillId="8" borderId="78" xfId="19" applyNumberFormat="1" applyFont="1" applyFill="1" applyBorder="1" applyAlignment="1" applyProtection="1">
      <alignment horizontal="center" vertical="center"/>
      <protection hidden="1"/>
    </xf>
    <xf numFmtId="188" fontId="53" fillId="18" borderId="57" xfId="34" applyNumberFormat="1" applyFont="1" applyFill="1" applyBorder="1" applyAlignment="1">
      <alignment horizontal="center" vertical="center"/>
    </xf>
    <xf numFmtId="188" fontId="53" fillId="18" borderId="1" xfId="34" applyNumberFormat="1" applyFont="1" applyFill="1" applyBorder="1" applyAlignment="1">
      <alignment horizontal="center" vertical="center"/>
    </xf>
    <xf numFmtId="188" fontId="53" fillId="8" borderId="58" xfId="34" applyNumberFormat="1" applyFont="1" applyFill="1" applyBorder="1" applyAlignment="1">
      <alignment horizontal="center" vertical="center"/>
    </xf>
    <xf numFmtId="3" fontId="53" fillId="18" borderId="80" xfId="34" applyNumberFormat="1" applyFont="1" applyFill="1" applyBorder="1" applyAlignment="1">
      <alignment horizontal="center" vertical="center"/>
    </xf>
    <xf numFmtId="3" fontId="53" fillId="18" borderId="37" xfId="34" applyNumberFormat="1" applyFont="1" applyFill="1" applyBorder="1" applyAlignment="1">
      <alignment horizontal="center" vertical="center"/>
    </xf>
    <xf numFmtId="169" fontId="38" fillId="0" borderId="15" xfId="3" applyNumberFormat="1" applyFont="1" applyBorder="1" applyAlignment="1" applyProtection="1">
      <alignment horizontal="center" vertical="center"/>
      <protection hidden="1"/>
    </xf>
    <xf numFmtId="169" fontId="38" fillId="3" borderId="1" xfId="3" applyNumberFormat="1" applyFont="1" applyFill="1" applyBorder="1" applyAlignment="1" applyProtection="1">
      <alignment horizontal="center" vertical="center"/>
      <protection hidden="1"/>
    </xf>
    <xf numFmtId="169" fontId="38" fillId="3" borderId="15" xfId="3" applyNumberFormat="1" applyFont="1" applyFill="1" applyBorder="1" applyAlignment="1" applyProtection="1">
      <alignment horizontal="center" vertical="center"/>
      <protection hidden="1"/>
    </xf>
    <xf numFmtId="169" fontId="38" fillId="0" borderId="1" xfId="3" applyNumberFormat="1" applyFont="1" applyBorder="1" applyAlignment="1" applyProtection="1">
      <alignment horizontal="center" vertical="center"/>
      <protection hidden="1"/>
    </xf>
    <xf numFmtId="169" fontId="37" fillId="20" borderId="41" xfId="16" applyNumberFormat="1" applyFont="1" applyFill="1" applyBorder="1" applyAlignment="1" applyProtection="1">
      <alignment horizontal="center" vertical="center"/>
      <protection hidden="1"/>
    </xf>
    <xf numFmtId="169" fontId="37" fillId="20" borderId="40" xfId="16" applyNumberFormat="1" applyFont="1" applyFill="1" applyBorder="1" applyAlignment="1" applyProtection="1">
      <alignment horizontal="center" vertical="center"/>
      <protection hidden="1"/>
    </xf>
    <xf numFmtId="171" fontId="38" fillId="0" borderId="55" xfId="3" applyNumberFormat="1" applyFont="1" applyBorder="1" applyAlignment="1" applyProtection="1">
      <alignment horizontal="center" vertical="center"/>
      <protection hidden="1"/>
    </xf>
    <xf numFmtId="171" fontId="38" fillId="3" borderId="57" xfId="3" applyNumberFormat="1" applyFont="1" applyFill="1" applyBorder="1" applyAlignment="1" applyProtection="1">
      <alignment horizontal="center" vertical="center"/>
      <protection hidden="1"/>
    </xf>
    <xf numFmtId="171" fontId="38" fillId="19" borderId="49" xfId="16" applyNumberFormat="1" applyFont="1" applyFill="1" applyBorder="1" applyAlignment="1" applyProtection="1">
      <alignment horizontal="center" vertical="center"/>
      <protection hidden="1"/>
    </xf>
    <xf numFmtId="169" fontId="38" fillId="15" borderId="14" xfId="3" applyNumberFormat="1" applyFont="1" applyFill="1" applyBorder="1" applyAlignment="1" applyProtection="1">
      <alignment horizontal="center" vertical="center"/>
      <protection hidden="1"/>
    </xf>
    <xf numFmtId="171" fontId="38" fillId="0" borderId="7" xfId="3" applyNumberFormat="1" applyFont="1" applyBorder="1" applyAlignment="1" applyProtection="1">
      <alignment horizontal="center" vertical="center"/>
      <protection hidden="1"/>
    </xf>
    <xf numFmtId="171" fontId="38" fillId="3" borderId="1" xfId="3" applyNumberFormat="1" applyFont="1" applyFill="1" applyBorder="1" applyAlignment="1" applyProtection="1">
      <alignment horizontal="center" vertical="center"/>
      <protection hidden="1"/>
    </xf>
    <xf numFmtId="171" fontId="38" fillId="19" borderId="16" xfId="16" applyNumberFormat="1" applyFont="1" applyFill="1" applyBorder="1" applyAlignment="1" applyProtection="1">
      <alignment horizontal="center" vertical="center"/>
      <protection hidden="1"/>
    </xf>
    <xf numFmtId="171" fontId="38" fillId="3" borderId="7" xfId="3" applyNumberFormat="1" applyFont="1" applyFill="1" applyBorder="1" applyAlignment="1" applyProtection="1">
      <alignment horizontal="center" vertical="center"/>
      <protection hidden="1"/>
    </xf>
    <xf numFmtId="171" fontId="38" fillId="0" borderId="1" xfId="3" applyNumberFormat="1" applyFont="1" applyBorder="1" applyAlignment="1" applyProtection="1">
      <alignment horizontal="center" vertical="center"/>
      <protection hidden="1"/>
    </xf>
    <xf numFmtId="169" fontId="37" fillId="20" borderId="20" xfId="16" applyNumberFormat="1" applyFont="1" applyFill="1" applyBorder="1" applyAlignment="1" applyProtection="1">
      <alignment horizontal="center" vertical="center"/>
      <protection hidden="1"/>
    </xf>
    <xf numFmtId="171" fontId="37" fillId="20" borderId="40" xfId="16" applyNumberFormat="1" applyFont="1" applyFill="1" applyBorder="1" applyAlignment="1" applyProtection="1">
      <alignment horizontal="center" vertical="center"/>
      <protection hidden="1"/>
    </xf>
    <xf numFmtId="171" fontId="37" fillId="20" borderId="62" xfId="21" applyNumberFormat="1" applyFont="1" applyFill="1" applyBorder="1" applyAlignment="1" applyProtection="1">
      <alignment horizontal="center" vertical="center"/>
      <protection hidden="1"/>
    </xf>
    <xf numFmtId="169" fontId="38" fillId="0" borderId="52" xfId="3" applyNumberFormat="1" applyFont="1" applyBorder="1" applyAlignment="1" applyProtection="1">
      <alignment horizontal="center" vertical="center"/>
      <protection hidden="1"/>
    </xf>
    <xf numFmtId="169" fontId="38" fillId="3" borderId="57" xfId="3" applyNumberFormat="1" applyFont="1" applyFill="1" applyBorder="1" applyAlignment="1" applyProtection="1">
      <alignment horizontal="center" vertical="center"/>
      <protection hidden="1"/>
    </xf>
    <xf numFmtId="169" fontId="38" fillId="15" borderId="58" xfId="3" applyNumberFormat="1" applyFont="1" applyFill="1" applyBorder="1" applyAlignment="1" applyProtection="1">
      <alignment horizontal="center" vertical="center"/>
      <protection hidden="1"/>
    </xf>
    <xf numFmtId="173" fontId="38" fillId="19" borderId="76" xfId="19" applyNumberFormat="1" applyFont="1" applyFill="1" applyBorder="1" applyAlignment="1" applyProtection="1">
      <alignment horizontal="center" vertical="center"/>
      <protection hidden="1"/>
    </xf>
    <xf numFmtId="169" fontId="38" fillId="3" borderId="69" xfId="3" applyNumberFormat="1" applyFont="1" applyFill="1" applyBorder="1" applyAlignment="1" applyProtection="1">
      <alignment horizontal="center" vertical="center"/>
      <protection hidden="1"/>
    </xf>
    <xf numFmtId="169" fontId="38" fillId="15" borderId="71" xfId="3" applyNumberFormat="1" applyFont="1" applyFill="1" applyBorder="1" applyAlignment="1" applyProtection="1">
      <alignment horizontal="center" vertical="center"/>
      <protection hidden="1"/>
    </xf>
    <xf numFmtId="171" fontId="38" fillId="3" borderId="5" xfId="3" applyNumberFormat="1" applyFont="1" applyFill="1" applyBorder="1" applyAlignment="1" applyProtection="1">
      <alignment horizontal="center" vertical="center"/>
      <protection hidden="1"/>
    </xf>
    <xf numFmtId="171" fontId="38" fillId="0" borderId="70" xfId="3" applyNumberFormat="1" applyFont="1" applyBorder="1" applyAlignment="1" applyProtection="1">
      <alignment horizontal="center" vertical="center"/>
      <protection hidden="1"/>
    </xf>
    <xf numFmtId="171" fontId="38" fillId="19" borderId="71" xfId="16" applyNumberFormat="1" applyFont="1" applyFill="1" applyBorder="1" applyAlignment="1" applyProtection="1">
      <alignment horizontal="center" vertical="center"/>
      <protection hidden="1"/>
    </xf>
    <xf numFmtId="171" fontId="38" fillId="19" borderId="50" xfId="16" applyNumberFormat="1" applyFont="1" applyFill="1" applyBorder="1" applyAlignment="1" applyProtection="1">
      <alignment horizontal="center" vertical="center"/>
      <protection hidden="1"/>
    </xf>
    <xf numFmtId="0" fontId="47" fillId="20" borderId="20" xfId="16" applyFont="1" applyFill="1" applyBorder="1" applyAlignment="1" applyProtection="1">
      <alignment vertical="center"/>
      <protection hidden="1"/>
    </xf>
    <xf numFmtId="0" fontId="49" fillId="19" borderId="47" xfId="16" applyFont="1" applyFill="1" applyBorder="1" applyAlignment="1" applyProtection="1">
      <alignment horizontal="center" vertical="center"/>
      <protection hidden="1"/>
    </xf>
    <xf numFmtId="0" fontId="49" fillId="19" borderId="13" xfId="16" applyFont="1" applyFill="1" applyBorder="1" applyAlignment="1" applyProtection="1">
      <alignment horizontal="center" vertical="center"/>
      <protection hidden="1"/>
    </xf>
    <xf numFmtId="0" fontId="49" fillId="19" borderId="76" xfId="16" applyFont="1" applyFill="1" applyBorder="1" applyAlignment="1" applyProtection="1">
      <alignment horizontal="center" vertical="center"/>
      <protection hidden="1"/>
    </xf>
    <xf numFmtId="0" fontId="49" fillId="19" borderId="58" xfId="16" applyFont="1" applyFill="1" applyBorder="1" applyAlignment="1" applyProtection="1">
      <alignment horizontal="center" vertical="center" wrapText="1"/>
      <protection hidden="1"/>
    </xf>
    <xf numFmtId="0" fontId="49" fillId="19" borderId="14" xfId="16" applyFont="1" applyFill="1" applyBorder="1" applyAlignment="1" applyProtection="1">
      <alignment horizontal="center" vertical="center" wrapText="1"/>
      <protection hidden="1"/>
    </xf>
    <xf numFmtId="0" fontId="49" fillId="19" borderId="43" xfId="16" applyFont="1" applyFill="1" applyBorder="1" applyAlignment="1" applyProtection="1">
      <alignment horizontal="center" vertical="center" wrapText="1"/>
      <protection hidden="1"/>
    </xf>
    <xf numFmtId="3" fontId="53" fillId="8" borderId="10" xfId="34" applyNumberFormat="1" applyFont="1" applyFill="1" applyBorder="1" applyAlignment="1">
      <alignment horizontal="center" vertical="center"/>
    </xf>
    <xf numFmtId="3" fontId="53" fillId="8" borderId="13" xfId="34" applyNumberFormat="1" applyFont="1" applyFill="1" applyBorder="1" applyAlignment="1">
      <alignment horizontal="center" vertical="center"/>
    </xf>
    <xf numFmtId="0" fontId="46" fillId="3" borderId="47" xfId="16" applyFont="1" applyFill="1" applyBorder="1" applyAlignment="1" applyProtection="1">
      <alignment horizontal="center" vertical="center" wrapText="1"/>
      <protection hidden="1"/>
    </xf>
    <xf numFmtId="1" fontId="51" fillId="18" borderId="10" xfId="34" applyNumberFormat="1" applyFont="1" applyFill="1" applyBorder="1" applyAlignment="1" applyProtection="1">
      <alignment horizontal="center" vertical="center"/>
      <protection hidden="1"/>
    </xf>
    <xf numFmtId="1" fontId="51" fillId="18" borderId="13" xfId="34" applyNumberFormat="1" applyFont="1" applyFill="1" applyBorder="1" applyAlignment="1" applyProtection="1">
      <alignment horizontal="center" vertical="center"/>
      <protection hidden="1"/>
    </xf>
    <xf numFmtId="0" fontId="53" fillId="3" borderId="47" xfId="17" quotePrefix="1" applyFont="1" applyFill="1" applyBorder="1" applyAlignment="1">
      <alignment horizontal="center" vertical="center"/>
    </xf>
    <xf numFmtId="0" fontId="53" fillId="3" borderId="77" xfId="17" quotePrefix="1" applyFont="1" applyFill="1" applyBorder="1" applyAlignment="1">
      <alignment horizontal="center" vertical="center"/>
    </xf>
    <xf numFmtId="1" fontId="51" fillId="18" borderId="27" xfId="34" applyNumberFormat="1" applyFont="1" applyFill="1" applyBorder="1" applyAlignment="1" applyProtection="1">
      <alignment horizontal="center" vertical="center"/>
      <protection hidden="1"/>
    </xf>
    <xf numFmtId="1" fontId="51" fillId="18" borderId="14" xfId="34" applyNumberFormat="1" applyFont="1" applyFill="1" applyBorder="1" applyAlignment="1" applyProtection="1">
      <alignment horizontal="center" vertical="center"/>
      <protection hidden="1"/>
    </xf>
    <xf numFmtId="0" fontId="53" fillId="3" borderId="74" xfId="17" quotePrefix="1" applyFont="1" applyFill="1" applyBorder="1" applyAlignment="1">
      <alignment horizontal="center" vertical="center"/>
    </xf>
    <xf numFmtId="192" fontId="52" fillId="8" borderId="20" xfId="16" applyNumberFormat="1" applyFont="1" applyFill="1" applyBorder="1" applyAlignment="1" applyProtection="1">
      <alignment horizontal="center" vertical="center" wrapText="1"/>
      <protection hidden="1"/>
    </xf>
    <xf numFmtId="192" fontId="52" fillId="8" borderId="22" xfId="16" applyNumberFormat="1" applyFont="1" applyFill="1" applyBorder="1" applyAlignment="1" applyProtection="1">
      <alignment horizontal="center" vertical="center" wrapText="1"/>
      <protection hidden="1"/>
    </xf>
    <xf numFmtId="171" fontId="52" fillId="8" borderId="9" xfId="3" applyNumberFormat="1" applyFont="1" applyFill="1" applyBorder="1" applyAlignment="1" applyProtection="1">
      <alignment horizontal="center" vertical="center"/>
      <protection hidden="1"/>
    </xf>
    <xf numFmtId="172" fontId="52" fillId="8" borderId="33" xfId="19" applyNumberFormat="1" applyFont="1" applyFill="1" applyBorder="1" applyAlignment="1" applyProtection="1">
      <alignment horizontal="center" vertical="center"/>
      <protection hidden="1"/>
    </xf>
    <xf numFmtId="172" fontId="52" fillId="8" borderId="80" xfId="19" applyNumberFormat="1" applyFont="1" applyFill="1" applyBorder="1" applyAlignment="1" applyProtection="1">
      <alignment horizontal="center" vertical="center"/>
      <protection hidden="1"/>
    </xf>
    <xf numFmtId="172" fontId="52" fillId="8" borderId="37" xfId="19" applyNumberFormat="1" applyFont="1" applyFill="1" applyBorder="1" applyAlignment="1" applyProtection="1">
      <alignment horizontal="center" vertical="center"/>
      <protection hidden="1"/>
    </xf>
    <xf numFmtId="172" fontId="52" fillId="8" borderId="36" xfId="19" applyNumberFormat="1" applyFont="1" applyFill="1" applyBorder="1" applyAlignment="1" applyProtection="1">
      <alignment horizontal="center" vertical="center"/>
      <protection hidden="1"/>
    </xf>
    <xf numFmtId="3" fontId="53" fillId="3" borderId="38" xfId="17" quotePrefix="1" applyNumberFormat="1" applyFont="1" applyFill="1" applyBorder="1" applyAlignment="1">
      <alignment horizontal="center" vertical="center" wrapText="1"/>
    </xf>
    <xf numFmtId="3" fontId="53" fillId="8" borderId="23" xfId="34" quotePrefix="1" applyNumberFormat="1" applyFont="1" applyFill="1" applyBorder="1" applyAlignment="1">
      <alignment horizontal="center" vertical="center" wrapText="1"/>
    </xf>
    <xf numFmtId="0" fontId="50" fillId="3" borderId="66" xfId="16" applyFont="1" applyFill="1" applyBorder="1" applyAlignment="1" applyProtection="1">
      <alignment horizontal="center" vertical="center"/>
      <protection hidden="1"/>
    </xf>
    <xf numFmtId="9" fontId="53" fillId="8" borderId="42" xfId="1" applyNumberFormat="1" applyFont="1" applyFill="1" applyBorder="1" applyAlignment="1">
      <alignment horizontal="center" vertical="center"/>
    </xf>
    <xf numFmtId="0" fontId="72" fillId="0" borderId="44" xfId="17" applyFont="1" applyBorder="1" applyAlignment="1">
      <alignment horizontal="center" vertical="center" wrapText="1"/>
    </xf>
    <xf numFmtId="10" fontId="53" fillId="8" borderId="43" xfId="1" applyNumberFormat="1" applyFont="1" applyFill="1" applyBorder="1" applyAlignment="1">
      <alignment horizontal="center" vertical="center"/>
    </xf>
    <xf numFmtId="0" fontId="72" fillId="0" borderId="41" xfId="17" applyFont="1" applyBorder="1" applyAlignment="1">
      <alignment horizontal="center" vertical="center" wrapText="1"/>
    </xf>
    <xf numFmtId="0" fontId="37" fillId="3" borderId="62" xfId="16" applyFont="1" applyFill="1" applyBorder="1" applyAlignment="1" applyProtection="1">
      <alignment horizontal="center" vertical="center" wrapText="1"/>
      <protection hidden="1"/>
    </xf>
    <xf numFmtId="188" fontId="38" fillId="19" borderId="49" xfId="16" applyNumberFormat="1" applyFont="1" applyFill="1" applyBorder="1" applyAlignment="1" applyProtection="1">
      <alignment horizontal="center" vertical="center"/>
      <protection hidden="1"/>
    </xf>
    <xf numFmtId="188" fontId="38" fillId="19" borderId="16" xfId="16" applyNumberFormat="1" applyFont="1" applyFill="1" applyBorder="1" applyAlignment="1" applyProtection="1">
      <alignment horizontal="center" vertical="center"/>
      <protection hidden="1"/>
    </xf>
    <xf numFmtId="188" fontId="38" fillId="19" borderId="50" xfId="16" applyNumberFormat="1" applyFont="1" applyFill="1" applyBorder="1" applyAlignment="1" applyProtection="1">
      <alignment horizontal="center" vertical="center"/>
      <protection hidden="1"/>
    </xf>
    <xf numFmtId="188" fontId="37" fillId="20" borderId="9" xfId="21" applyNumberFormat="1" applyFont="1" applyFill="1" applyBorder="1" applyAlignment="1" applyProtection="1">
      <alignment horizontal="center" vertical="center"/>
      <protection hidden="1"/>
    </xf>
    <xf numFmtId="193" fontId="37" fillId="8" borderId="40" xfId="16" applyNumberFormat="1" applyFont="1" applyFill="1" applyBorder="1" applyAlignment="1" applyProtection="1">
      <alignment horizontal="center" vertical="center" wrapText="1"/>
      <protection hidden="1"/>
    </xf>
    <xf numFmtId="0" fontId="46" fillId="3" borderId="43" xfId="16" applyFont="1" applyFill="1" applyBorder="1" applyAlignment="1" applyProtection="1">
      <alignment horizontal="center" vertical="center" wrapText="1"/>
      <protection hidden="1"/>
    </xf>
    <xf numFmtId="0" fontId="46" fillId="25" borderId="14" xfId="16" applyFont="1" applyFill="1" applyBorder="1" applyAlignment="1" applyProtection="1">
      <alignment horizontal="center" vertical="center" wrapText="1"/>
      <protection hidden="1"/>
    </xf>
    <xf numFmtId="0" fontId="46" fillId="25" borderId="43" xfId="16" applyFont="1" applyFill="1" applyBorder="1" applyAlignment="1" applyProtection="1">
      <alignment horizontal="center" vertical="center" wrapText="1"/>
      <protection hidden="1"/>
    </xf>
    <xf numFmtId="169" fontId="38" fillId="0" borderId="27" xfId="16" applyNumberFormat="1" applyFont="1" applyBorder="1" applyAlignment="1" applyProtection="1">
      <alignment vertical="center"/>
      <protection hidden="1"/>
    </xf>
    <xf numFmtId="169" fontId="38" fillId="0" borderId="14" xfId="16" applyNumberFormat="1" applyFont="1" applyBorder="1" applyAlignment="1" applyProtection="1">
      <alignment vertical="center"/>
      <protection hidden="1"/>
    </xf>
    <xf numFmtId="169" fontId="38" fillId="0" borderId="19" xfId="16" applyNumberFormat="1" applyFont="1" applyBorder="1" applyAlignment="1" applyProtection="1">
      <alignment vertical="center"/>
      <protection hidden="1"/>
    </xf>
    <xf numFmtId="3" fontId="38" fillId="0" borderId="6" xfId="3" applyNumberFormat="1" applyFont="1" applyBorder="1" applyAlignment="1" applyProtection="1">
      <alignment vertical="center"/>
      <protection hidden="1"/>
    </xf>
    <xf numFmtId="3" fontId="38" fillId="0" borderId="29" xfId="3" applyNumberFormat="1" applyFont="1" applyBorder="1" applyAlignment="1" applyProtection="1">
      <alignment vertical="center"/>
      <protection hidden="1"/>
    </xf>
    <xf numFmtId="0" fontId="38" fillId="19" borderId="44" xfId="16" applyFont="1" applyFill="1" applyBorder="1" applyAlignment="1" applyProtection="1">
      <alignment horizontal="center" vertical="center" wrapText="1"/>
      <protection hidden="1"/>
    </xf>
    <xf numFmtId="0" fontId="49" fillId="19" borderId="2" xfId="16" applyFont="1" applyFill="1" applyBorder="1" applyAlignment="1" applyProtection="1">
      <alignment horizontal="center" vertical="center" wrapText="1"/>
      <protection hidden="1"/>
    </xf>
    <xf numFmtId="170" fontId="48" fillId="18" borderId="2" xfId="19" applyNumberFormat="1" applyFont="1" applyFill="1" applyBorder="1" applyAlignment="1" applyProtection="1">
      <alignment vertical="center" wrapText="1"/>
      <protection hidden="1"/>
    </xf>
    <xf numFmtId="182" fontId="52" fillId="19" borderId="52" xfId="34" applyNumberFormat="1" applyFont="1" applyFill="1" applyBorder="1" applyAlignment="1" applyProtection="1">
      <alignment horizontal="center" vertical="center"/>
      <protection hidden="1"/>
    </xf>
    <xf numFmtId="182" fontId="52" fillId="19" borderId="15" xfId="34" applyNumberFormat="1" applyFont="1" applyFill="1" applyBorder="1" applyAlignment="1" applyProtection="1">
      <alignment horizontal="center" vertical="center"/>
      <protection hidden="1"/>
    </xf>
    <xf numFmtId="182" fontId="52" fillId="19" borderId="44" xfId="34" applyNumberFormat="1" applyFont="1" applyFill="1" applyBorder="1" applyAlignment="1" applyProtection="1">
      <alignment horizontal="center" vertical="center"/>
      <protection hidden="1"/>
    </xf>
    <xf numFmtId="182" fontId="52" fillId="19" borderId="41" xfId="34" applyNumberFormat="1" applyFont="1" applyFill="1" applyBorder="1" applyAlignment="1" applyProtection="1">
      <alignment horizontal="center" vertical="center"/>
      <protection hidden="1"/>
    </xf>
    <xf numFmtId="44" fontId="37" fillId="19" borderId="54" xfId="21" applyFont="1" applyFill="1" applyBorder="1" applyAlignment="1" applyProtection="1">
      <alignment horizontal="center" vertical="center"/>
      <protection hidden="1"/>
    </xf>
    <xf numFmtId="44" fontId="37" fillId="19" borderId="14" xfId="21" applyFont="1" applyFill="1" applyBorder="1" applyAlignment="1" applyProtection="1">
      <alignment horizontal="center" vertical="center"/>
      <protection hidden="1"/>
    </xf>
    <xf numFmtId="44" fontId="37" fillId="19" borderId="4" xfId="21" applyFont="1" applyFill="1" applyBorder="1" applyAlignment="1" applyProtection="1">
      <alignment horizontal="center" vertical="center"/>
      <protection hidden="1"/>
    </xf>
    <xf numFmtId="44" fontId="37" fillId="19" borderId="22" xfId="21" applyFont="1" applyFill="1" applyBorder="1" applyAlignment="1" applyProtection="1">
      <alignment horizontal="center" vertical="center"/>
      <protection hidden="1"/>
    </xf>
    <xf numFmtId="0" fontId="11" fillId="3" borderId="0" xfId="17" applyFill="1"/>
    <xf numFmtId="0" fontId="46" fillId="3" borderId="63" xfId="16" applyFont="1" applyFill="1" applyBorder="1" applyAlignment="1" applyProtection="1">
      <alignment vertical="center" wrapText="1"/>
      <protection hidden="1"/>
    </xf>
    <xf numFmtId="0" fontId="46" fillId="3" borderId="66" xfId="16" applyFont="1" applyFill="1" applyBorder="1" applyAlignment="1" applyProtection="1">
      <alignment vertical="center" wrapText="1"/>
      <protection hidden="1"/>
    </xf>
    <xf numFmtId="171" fontId="46" fillId="3" borderId="32" xfId="16" applyNumberFormat="1" applyFont="1" applyFill="1" applyBorder="1" applyAlignment="1" applyProtection="1">
      <alignment horizontal="center" vertical="center" wrapText="1"/>
      <protection hidden="1"/>
    </xf>
    <xf numFmtId="171" fontId="37" fillId="20" borderId="29" xfId="16" applyNumberFormat="1" applyFont="1" applyFill="1" applyBorder="1" applyAlignment="1" applyProtection="1">
      <alignment horizontal="center" vertical="center"/>
      <protection hidden="1"/>
    </xf>
    <xf numFmtId="0" fontId="46" fillId="3" borderId="86" xfId="16" applyFont="1" applyFill="1" applyBorder="1" applyAlignment="1" applyProtection="1">
      <alignment horizontal="center" vertical="center" wrapText="1"/>
      <protection hidden="1"/>
    </xf>
    <xf numFmtId="0" fontId="46" fillId="3" borderId="87" xfId="16" applyFont="1" applyFill="1" applyBorder="1" applyAlignment="1" applyProtection="1">
      <alignment horizontal="center" vertical="center" wrapText="1"/>
      <protection hidden="1"/>
    </xf>
    <xf numFmtId="171" fontId="37" fillId="20" borderId="90" xfId="16" applyNumberFormat="1" applyFont="1" applyFill="1" applyBorder="1" applyAlignment="1" applyProtection="1">
      <alignment horizontal="center" vertical="center"/>
      <protection hidden="1"/>
    </xf>
    <xf numFmtId="0" fontId="46" fillId="23" borderId="47" xfId="16" applyFont="1" applyFill="1" applyBorder="1" applyAlignment="1" applyProtection="1">
      <alignment horizontal="center" vertical="center" wrapText="1"/>
      <protection hidden="1"/>
    </xf>
    <xf numFmtId="0" fontId="46" fillId="23" borderId="54" xfId="16" applyFont="1" applyFill="1" applyBorder="1" applyAlignment="1" applyProtection="1">
      <alignment horizontal="center" vertical="center" wrapText="1"/>
      <protection hidden="1"/>
    </xf>
    <xf numFmtId="0" fontId="46" fillId="24" borderId="54" xfId="16" applyFont="1" applyFill="1" applyBorder="1" applyAlignment="1" applyProtection="1">
      <alignment horizontal="center" vertical="center" wrapText="1"/>
      <protection hidden="1"/>
    </xf>
    <xf numFmtId="0" fontId="46" fillId="24" borderId="58" xfId="16" applyFont="1" applyFill="1" applyBorder="1" applyAlignment="1" applyProtection="1">
      <alignment horizontal="center" vertical="center" wrapText="1"/>
      <protection hidden="1"/>
    </xf>
    <xf numFmtId="0" fontId="46" fillId="25" borderId="80" xfId="16" applyFont="1" applyFill="1" applyBorder="1" applyAlignment="1" applyProtection="1">
      <alignment horizontal="center" vertical="center" wrapText="1"/>
      <protection hidden="1"/>
    </xf>
    <xf numFmtId="0" fontId="46" fillId="11" borderId="23" xfId="16" applyFont="1" applyFill="1" applyBorder="1" applyAlignment="1" applyProtection="1">
      <alignment vertical="center"/>
      <protection hidden="1"/>
    </xf>
    <xf numFmtId="0" fontId="46" fillId="11" borderId="39" xfId="16" applyFont="1" applyFill="1" applyBorder="1" applyAlignment="1" applyProtection="1">
      <alignment vertical="center"/>
      <protection hidden="1"/>
    </xf>
    <xf numFmtId="0" fontId="46" fillId="22" borderId="32" xfId="16" applyFont="1" applyFill="1" applyBorder="1" applyAlignment="1" applyProtection="1">
      <alignment horizontal="left" vertical="center"/>
      <protection hidden="1"/>
    </xf>
    <xf numFmtId="0" fontId="46" fillId="22" borderId="51" xfId="16" applyFont="1" applyFill="1" applyBorder="1" applyAlignment="1" applyProtection="1">
      <alignment horizontal="center" vertical="center"/>
      <protection hidden="1"/>
    </xf>
    <xf numFmtId="188" fontId="38" fillId="18" borderId="27" xfId="19" applyNumberFormat="1" applyFont="1" applyFill="1" applyBorder="1" applyAlignment="1" applyProtection="1">
      <alignment vertical="center"/>
      <protection hidden="1"/>
    </xf>
    <xf numFmtId="188" fontId="38" fillId="18" borderId="58" xfId="19" applyNumberFormat="1" applyFont="1" applyFill="1" applyBorder="1" applyAlignment="1" applyProtection="1">
      <alignment vertical="center"/>
      <protection hidden="1"/>
    </xf>
    <xf numFmtId="188" fontId="38" fillId="18" borderId="78" xfId="19" applyNumberFormat="1" applyFont="1" applyFill="1" applyBorder="1" applyAlignment="1" applyProtection="1">
      <alignment vertical="center"/>
      <protection hidden="1"/>
    </xf>
    <xf numFmtId="188" fontId="37" fillId="20" borderId="78" xfId="19" applyNumberFormat="1" applyFont="1" applyFill="1" applyBorder="1" applyAlignment="1" applyProtection="1">
      <alignment horizontal="right" vertical="center"/>
      <protection hidden="1"/>
    </xf>
    <xf numFmtId="0" fontId="46" fillId="3" borderId="10" xfId="16" applyFont="1" applyFill="1" applyBorder="1" applyAlignment="1" applyProtection="1">
      <alignment vertical="center"/>
      <protection hidden="1"/>
    </xf>
    <xf numFmtId="0" fontId="46" fillId="3" borderId="11" xfId="16" applyFont="1" applyFill="1" applyBorder="1" applyAlignment="1" applyProtection="1">
      <alignment vertical="center"/>
      <protection hidden="1"/>
    </xf>
    <xf numFmtId="0" fontId="46" fillId="3" borderId="12" xfId="16" applyFont="1" applyFill="1" applyBorder="1" applyAlignment="1" applyProtection="1">
      <alignment vertical="center"/>
      <protection hidden="1"/>
    </xf>
    <xf numFmtId="169" fontId="38" fillId="3" borderId="31" xfId="3" quotePrefix="1" applyNumberFormat="1" applyFont="1" applyFill="1" applyBorder="1" applyAlignment="1" applyProtection="1">
      <alignment horizontal="center" vertical="center"/>
      <protection hidden="1"/>
    </xf>
    <xf numFmtId="169" fontId="38" fillId="3" borderId="6" xfId="3" quotePrefix="1" applyNumberFormat="1" applyFont="1" applyFill="1" applyBorder="1" applyAlignment="1" applyProtection="1">
      <alignment horizontal="center" vertical="center"/>
      <protection hidden="1"/>
    </xf>
    <xf numFmtId="171" fontId="38" fillId="0" borderId="6" xfId="3" applyNumberFormat="1" applyFont="1" applyBorder="1" applyAlignment="1" applyProtection="1">
      <alignment vertical="center"/>
      <protection hidden="1"/>
    </xf>
    <xf numFmtId="171" fontId="38" fillId="0" borderId="75" xfId="3" applyNumberFormat="1" applyFont="1" applyBorder="1" applyAlignment="1" applyProtection="1">
      <alignment vertical="center"/>
      <protection hidden="1"/>
    </xf>
    <xf numFmtId="44" fontId="38" fillId="0" borderId="36" xfId="21" applyFont="1" applyBorder="1" applyAlignment="1" applyProtection="1">
      <alignment vertical="center"/>
      <protection hidden="1"/>
    </xf>
    <xf numFmtId="172" fontId="38" fillId="18" borderId="26" xfId="19" applyNumberFormat="1" applyFont="1" applyFill="1" applyBorder="1" applyAlignment="1" applyProtection="1">
      <alignment vertical="center"/>
      <protection hidden="1"/>
    </xf>
    <xf numFmtId="172" fontId="38" fillId="18" borderId="72" xfId="19" applyNumberFormat="1" applyFont="1" applyFill="1" applyBorder="1" applyAlignment="1" applyProtection="1">
      <alignment vertical="center"/>
      <protection hidden="1"/>
    </xf>
    <xf numFmtId="0" fontId="52" fillId="3" borderId="86" xfId="16" applyFont="1" applyFill="1" applyBorder="1" applyAlignment="1" applyProtection="1">
      <alignment vertical="center"/>
      <protection hidden="1"/>
    </xf>
    <xf numFmtId="0" fontId="11" fillId="3" borderId="12" xfId="17" applyFill="1" applyBorder="1"/>
    <xf numFmtId="0" fontId="75" fillId="3" borderId="85" xfId="17" applyFont="1" applyFill="1" applyBorder="1"/>
    <xf numFmtId="169" fontId="38" fillId="18" borderId="28" xfId="16" applyNumberFormat="1" applyFont="1" applyFill="1" applyBorder="1" applyAlignment="1" applyProtection="1">
      <alignment horizontal="center" vertical="center"/>
      <protection hidden="1"/>
    </xf>
    <xf numFmtId="169" fontId="38" fillId="18" borderId="7" xfId="16" applyNumberFormat="1" applyFont="1" applyFill="1" applyBorder="1" applyAlignment="1" applyProtection="1">
      <alignment horizontal="center" vertical="center"/>
      <protection hidden="1"/>
    </xf>
    <xf numFmtId="169" fontId="38" fillId="18" borderId="24" xfId="16" applyNumberFormat="1" applyFont="1" applyFill="1" applyBorder="1" applyAlignment="1" applyProtection="1">
      <alignment horizontal="center" vertical="center"/>
      <protection hidden="1"/>
    </xf>
    <xf numFmtId="188" fontId="38" fillId="18" borderId="26" xfId="34" applyNumberFormat="1" applyFont="1" applyFill="1" applyBorder="1" applyAlignment="1" applyProtection="1">
      <alignment horizontal="center" vertical="center"/>
      <protection hidden="1"/>
    </xf>
    <xf numFmtId="188" fontId="38" fillId="18" borderId="1" xfId="34" applyNumberFormat="1" applyFont="1" applyFill="1" applyBorder="1" applyAlignment="1" applyProtection="1">
      <alignment horizontal="center" vertical="center"/>
      <protection hidden="1"/>
    </xf>
    <xf numFmtId="188" fontId="38" fillId="18" borderId="18" xfId="34" applyNumberFormat="1" applyFont="1" applyFill="1" applyBorder="1" applyAlignment="1" applyProtection="1">
      <alignment horizontal="center" vertical="center"/>
      <protection hidden="1"/>
    </xf>
    <xf numFmtId="188" fontId="37" fillId="20" borderId="72" xfId="34" applyNumberFormat="1" applyFont="1" applyFill="1" applyBorder="1" applyAlignment="1" applyProtection="1">
      <alignment horizontal="center" vertical="center"/>
      <protection hidden="1"/>
    </xf>
    <xf numFmtId="169" fontId="38" fillId="0" borderId="33" xfId="16" applyNumberFormat="1" applyFont="1" applyBorder="1" applyAlignment="1" applyProtection="1">
      <alignment horizontal="center" vertical="center"/>
      <protection hidden="1"/>
    </xf>
    <xf numFmtId="169" fontId="38" fillId="0" borderId="37" xfId="16" applyNumberFormat="1" applyFont="1" applyBorder="1" applyAlignment="1" applyProtection="1">
      <alignment horizontal="center" vertical="center"/>
      <protection hidden="1"/>
    </xf>
    <xf numFmtId="169" fontId="38" fillId="0" borderId="38" xfId="16" applyNumberFormat="1" applyFont="1" applyBorder="1" applyAlignment="1" applyProtection="1">
      <alignment horizontal="center" vertical="center"/>
      <protection hidden="1"/>
    </xf>
    <xf numFmtId="0" fontId="46" fillId="22" borderId="8" xfId="16" applyFont="1" applyFill="1" applyBorder="1" applyAlignment="1" applyProtection="1">
      <alignment horizontal="center" vertical="center" wrapText="1"/>
      <protection hidden="1"/>
    </xf>
    <xf numFmtId="188" fontId="38" fillId="0" borderId="27" xfId="19" applyNumberFormat="1" applyFont="1" applyFill="1" applyBorder="1" applyAlignment="1" applyProtection="1">
      <alignment vertical="center"/>
      <protection hidden="1"/>
    </xf>
    <xf numFmtId="188" fontId="38" fillId="0" borderId="58" xfId="19" applyNumberFormat="1" applyFont="1" applyFill="1" applyBorder="1" applyAlignment="1" applyProtection="1">
      <alignment vertical="center"/>
      <protection hidden="1"/>
    </xf>
    <xf numFmtId="188" fontId="38" fillId="0" borderId="78" xfId="19" applyNumberFormat="1" applyFont="1" applyFill="1" applyBorder="1" applyAlignment="1" applyProtection="1">
      <alignment vertical="center"/>
      <protection hidden="1"/>
    </xf>
    <xf numFmtId="44" fontId="37" fillId="28" borderId="9" xfId="21" applyFont="1" applyFill="1" applyBorder="1" applyAlignment="1" applyProtection="1">
      <alignment vertical="center"/>
      <protection hidden="1"/>
    </xf>
    <xf numFmtId="0" fontId="45" fillId="21" borderId="91" xfId="16" applyFont="1" applyFill="1" applyBorder="1" applyAlignment="1" applyProtection="1">
      <alignment vertical="center"/>
      <protection hidden="1"/>
    </xf>
    <xf numFmtId="3" fontId="38" fillId="15" borderId="33" xfId="3" applyNumberFormat="1" applyFont="1" applyFill="1" applyBorder="1" applyAlignment="1" applyProtection="1">
      <alignment vertical="center"/>
      <protection hidden="1"/>
    </xf>
    <xf numFmtId="3" fontId="38" fillId="15" borderId="37" xfId="3" applyNumberFormat="1" applyFont="1" applyFill="1" applyBorder="1" applyAlignment="1" applyProtection="1">
      <alignment vertical="center"/>
      <protection hidden="1"/>
    </xf>
    <xf numFmtId="3" fontId="38" fillId="15" borderId="36" xfId="3" applyNumberFormat="1" applyFont="1" applyFill="1" applyBorder="1" applyAlignment="1" applyProtection="1">
      <alignment vertical="center"/>
      <protection hidden="1"/>
    </xf>
    <xf numFmtId="3" fontId="37" fillId="20" borderId="9" xfId="16" applyNumberFormat="1" applyFont="1" applyFill="1" applyBorder="1" applyAlignment="1" applyProtection="1">
      <alignment horizontal="right" vertical="center"/>
      <protection hidden="1"/>
    </xf>
    <xf numFmtId="3" fontId="37" fillId="28" borderId="9" xfId="16" applyNumberFormat="1" applyFont="1" applyFill="1" applyBorder="1" applyAlignment="1" applyProtection="1">
      <alignment horizontal="right" vertical="center"/>
      <protection hidden="1"/>
    </xf>
    <xf numFmtId="3" fontId="38" fillId="0" borderId="25" xfId="3" applyNumberFormat="1" applyFont="1" applyBorder="1" applyAlignment="1" applyProtection="1">
      <alignment vertical="center"/>
      <protection hidden="1"/>
    </xf>
    <xf numFmtId="3" fontId="38" fillId="3" borderId="26" xfId="3" quotePrefix="1" applyNumberFormat="1" applyFont="1" applyFill="1" applyBorder="1" applyAlignment="1" applyProtection="1">
      <alignment horizontal="center" vertical="center"/>
      <protection hidden="1"/>
    </xf>
    <xf numFmtId="3" fontId="38" fillId="0" borderId="15" xfId="3" applyNumberFormat="1" applyFont="1" applyBorder="1" applyAlignment="1" applyProtection="1">
      <alignment vertical="center"/>
      <protection hidden="1"/>
    </xf>
    <xf numFmtId="3" fontId="38" fillId="3" borderId="1" xfId="3" quotePrefix="1" applyNumberFormat="1" applyFont="1" applyFill="1" applyBorder="1" applyAlignment="1" applyProtection="1">
      <alignment horizontal="center" vertical="center"/>
      <protection hidden="1"/>
    </xf>
    <xf numFmtId="3" fontId="38" fillId="3" borderId="15" xfId="3" quotePrefix="1" applyNumberFormat="1" applyFont="1" applyFill="1" applyBorder="1" applyAlignment="1" applyProtection="1">
      <alignment horizontal="center" vertical="center"/>
      <protection hidden="1"/>
    </xf>
    <xf numFmtId="3" fontId="38" fillId="15" borderId="6" xfId="3" applyNumberFormat="1" applyFont="1" applyFill="1" applyBorder="1" applyAlignment="1" applyProtection="1">
      <alignment vertical="center"/>
      <protection hidden="1"/>
    </xf>
    <xf numFmtId="3" fontId="38" fillId="3" borderId="73" xfId="3" applyNumberFormat="1" applyFont="1" applyFill="1" applyBorder="1" applyAlignment="1" applyProtection="1">
      <alignment horizontal="center" vertical="center"/>
      <protection hidden="1"/>
    </xf>
    <xf numFmtId="3" fontId="38" fillId="15" borderId="29" xfId="3" applyNumberFormat="1" applyFont="1" applyFill="1" applyBorder="1" applyAlignment="1" applyProtection="1">
      <alignment vertical="center"/>
      <protection hidden="1"/>
    </xf>
    <xf numFmtId="3" fontId="37" fillId="20" borderId="60" xfId="16" applyNumberFormat="1" applyFont="1" applyFill="1" applyBorder="1" applyAlignment="1" applyProtection="1">
      <alignment horizontal="right" vertical="center"/>
      <protection hidden="1"/>
    </xf>
    <xf numFmtId="3" fontId="38" fillId="0" borderId="28" xfId="3" applyNumberFormat="1" applyFont="1" applyBorder="1" applyAlignment="1" applyProtection="1">
      <alignment vertical="center"/>
      <protection hidden="1"/>
    </xf>
    <xf numFmtId="3" fontId="38" fillId="0" borderId="7" xfId="3" applyNumberFormat="1" applyFont="1" applyBorder="1" applyAlignment="1" applyProtection="1">
      <alignment vertical="center"/>
      <protection hidden="1"/>
    </xf>
    <xf numFmtId="3" fontId="38" fillId="15" borderId="31" xfId="3" applyNumberFormat="1" applyFont="1" applyFill="1" applyBorder="1" applyAlignment="1" applyProtection="1">
      <alignment vertical="center"/>
      <protection hidden="1"/>
    </xf>
    <xf numFmtId="3" fontId="38" fillId="15" borderId="27" xfId="3" applyNumberFormat="1" applyFont="1" applyFill="1" applyBorder="1" applyAlignment="1" applyProtection="1">
      <alignment vertical="center"/>
      <protection hidden="1"/>
    </xf>
    <xf numFmtId="3" fontId="38" fillId="15" borderId="14" xfId="3" applyNumberFormat="1" applyFont="1" applyFill="1" applyBorder="1" applyAlignment="1" applyProtection="1">
      <alignment vertical="center"/>
      <protection hidden="1"/>
    </xf>
    <xf numFmtId="3" fontId="38" fillId="15" borderId="1" xfId="3" applyNumberFormat="1" applyFont="1" applyFill="1" applyBorder="1" applyAlignment="1" applyProtection="1">
      <alignment vertical="center"/>
      <protection hidden="1"/>
    </xf>
    <xf numFmtId="3" fontId="38" fillId="15" borderId="72" xfId="3" applyNumberFormat="1" applyFont="1" applyFill="1" applyBorder="1" applyAlignment="1" applyProtection="1">
      <alignment vertical="center"/>
      <protection hidden="1"/>
    </xf>
    <xf numFmtId="3" fontId="38" fillId="15" borderId="74" xfId="3" applyNumberFormat="1" applyFont="1" applyFill="1" applyBorder="1" applyAlignment="1" applyProtection="1">
      <alignment vertical="center"/>
      <protection hidden="1"/>
    </xf>
    <xf numFmtId="3" fontId="37" fillId="20" borderId="73" xfId="16" applyNumberFormat="1" applyFont="1" applyFill="1" applyBorder="1" applyAlignment="1" applyProtection="1">
      <alignment horizontal="right" vertical="center"/>
      <protection hidden="1"/>
    </xf>
    <xf numFmtId="3" fontId="37" fillId="20" borderId="72" xfId="16" applyNumberFormat="1" applyFont="1" applyFill="1" applyBorder="1" applyAlignment="1" applyProtection="1">
      <alignment horizontal="right" vertical="center"/>
      <protection hidden="1"/>
    </xf>
    <xf numFmtId="3" fontId="37" fillId="20" borderId="29" xfId="16" applyNumberFormat="1" applyFont="1" applyFill="1" applyBorder="1" applyAlignment="1" applyProtection="1">
      <alignment horizontal="right" vertical="center"/>
      <protection hidden="1"/>
    </xf>
    <xf numFmtId="3" fontId="37" fillId="28" borderId="74" xfId="16" applyNumberFormat="1" applyFont="1" applyFill="1" applyBorder="1" applyAlignment="1" applyProtection="1">
      <alignment horizontal="right" vertical="center"/>
      <protection hidden="1"/>
    </xf>
    <xf numFmtId="44" fontId="38" fillId="0" borderId="31" xfId="21" applyFont="1" applyFill="1" applyBorder="1" applyAlignment="1" applyProtection="1">
      <alignment horizontal="center" vertical="center"/>
      <protection hidden="1"/>
    </xf>
    <xf numFmtId="44" fontId="38" fillId="0" borderId="54" xfId="21" applyFont="1" applyFill="1" applyBorder="1" applyAlignment="1" applyProtection="1">
      <alignment horizontal="center" vertical="center"/>
      <protection hidden="1"/>
    </xf>
    <xf numFmtId="44" fontId="38" fillId="0" borderId="29" xfId="21" applyFont="1" applyFill="1" applyBorder="1" applyAlignment="1" applyProtection="1">
      <alignment horizontal="center" vertical="center"/>
      <protection hidden="1"/>
    </xf>
    <xf numFmtId="0" fontId="15" fillId="3" borderId="13"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7" xfId="0" applyFont="1" applyFill="1" applyBorder="1" applyAlignment="1">
      <alignment horizontal="center" vertical="center"/>
    </xf>
    <xf numFmtId="188" fontId="53" fillId="31" borderId="14" xfId="34" applyNumberFormat="1" applyFont="1" applyFill="1" applyBorder="1" applyAlignment="1">
      <alignment horizontal="center" vertical="center"/>
    </xf>
    <xf numFmtId="3" fontId="49" fillId="31" borderId="36" xfId="16" applyNumberFormat="1" applyFont="1" applyFill="1" applyBorder="1" applyAlignment="1" applyProtection="1">
      <alignment horizontal="center" vertical="center"/>
      <protection hidden="1"/>
    </xf>
    <xf numFmtId="0" fontId="15" fillId="11" borderId="33" xfId="0" applyFont="1" applyFill="1" applyBorder="1" applyAlignment="1">
      <alignment horizontal="center" vertical="center"/>
    </xf>
    <xf numFmtId="44" fontId="0" fillId="32" borderId="37" xfId="37" applyFont="1" applyFill="1" applyBorder="1">
      <alignment vertical="center"/>
    </xf>
    <xf numFmtId="44" fontId="0" fillId="0" borderId="37" xfId="37" applyFont="1" applyBorder="1">
      <alignment vertical="center"/>
    </xf>
    <xf numFmtId="0" fontId="15" fillId="11" borderId="17" xfId="0" applyFont="1" applyFill="1" applyBorder="1" applyAlignment="1">
      <alignment vertical="center" wrapText="1"/>
    </xf>
    <xf numFmtId="44" fontId="10" fillId="12" borderId="18" xfId="37" applyFont="1" applyFill="1" applyBorder="1">
      <alignment vertical="center"/>
    </xf>
    <xf numFmtId="44" fontId="10" fillId="0" borderId="38" xfId="37" applyFont="1" applyBorder="1">
      <alignment vertical="center"/>
    </xf>
    <xf numFmtId="0" fontId="76" fillId="16" borderId="26" xfId="38" applyFont="1" applyFill="1" applyBorder="1" applyAlignment="1">
      <alignment horizontal="center" vertical="center" wrapText="1"/>
    </xf>
    <xf numFmtId="0" fontId="76" fillId="16" borderId="26" xfId="38" applyFont="1" applyFill="1" applyBorder="1" applyAlignment="1">
      <alignment horizontal="center" vertical="center"/>
    </xf>
    <xf numFmtId="0" fontId="76" fillId="16" borderId="27" xfId="38" applyFont="1" applyFill="1" applyBorder="1" applyAlignment="1">
      <alignment horizontal="center" vertical="center"/>
    </xf>
    <xf numFmtId="0" fontId="77" fillId="3" borderId="15" xfId="38" applyFont="1" applyFill="1" applyBorder="1" applyAlignment="1">
      <alignment horizontal="center" vertical="center"/>
    </xf>
    <xf numFmtId="191" fontId="77" fillId="3" borderId="1" xfId="1" applyNumberFormat="1" applyFont="1" applyFill="1" applyBorder="1" applyAlignment="1">
      <alignment horizontal="center" vertical="center"/>
    </xf>
    <xf numFmtId="0" fontId="77" fillId="3" borderId="1" xfId="38" applyFont="1" applyFill="1" applyBorder="1" applyAlignment="1">
      <alignment horizontal="center" vertical="center"/>
    </xf>
    <xf numFmtId="0" fontId="76" fillId="3" borderId="14" xfId="38" applyFont="1" applyFill="1" applyBorder="1" applyAlignment="1">
      <alignment horizontal="center" vertical="center"/>
    </xf>
    <xf numFmtId="0" fontId="77" fillId="8" borderId="15" xfId="38" applyFont="1" applyFill="1" applyBorder="1" applyAlignment="1">
      <alignment horizontal="center" vertical="center"/>
    </xf>
    <xf numFmtId="0" fontId="77" fillId="8" borderId="1" xfId="38" applyFont="1" applyFill="1" applyBorder="1" applyAlignment="1">
      <alignment horizontal="center" vertical="center"/>
    </xf>
    <xf numFmtId="194" fontId="77" fillId="8" borderId="1" xfId="1" applyNumberFormat="1" applyFont="1" applyFill="1" applyBorder="1" applyAlignment="1">
      <alignment horizontal="center" vertical="center"/>
    </xf>
    <xf numFmtId="0" fontId="76" fillId="8" borderId="14" xfId="38" applyFont="1" applyFill="1" applyBorder="1" applyAlignment="1">
      <alignment horizontal="center" vertical="center"/>
    </xf>
    <xf numFmtId="44" fontId="77" fillId="15" borderId="15" xfId="37" applyFont="1" applyFill="1" applyBorder="1">
      <alignment vertical="center"/>
    </xf>
    <xf numFmtId="44" fontId="77" fillId="15" borderId="1" xfId="37" applyFont="1" applyFill="1" applyBorder="1">
      <alignment vertical="center"/>
    </xf>
    <xf numFmtId="10" fontId="77" fillId="15" borderId="1" xfId="1" applyNumberFormat="1" applyFont="1" applyFill="1" applyBorder="1" applyAlignment="1">
      <alignment horizontal="center" vertical="center"/>
    </xf>
    <xf numFmtId="0" fontId="77" fillId="15" borderId="1" xfId="38" applyFont="1" applyFill="1" applyBorder="1" applyAlignment="1">
      <alignment horizontal="center" vertical="center"/>
    </xf>
    <xf numFmtId="4" fontId="76" fillId="15" borderId="14" xfId="38" applyNumberFormat="1" applyFont="1" applyFill="1" applyBorder="1" applyAlignment="1">
      <alignment horizontal="center" vertical="center"/>
    </xf>
    <xf numFmtId="44" fontId="77" fillId="15" borderId="17" xfId="37" applyFont="1" applyFill="1" applyBorder="1">
      <alignment vertical="center"/>
    </xf>
    <xf numFmtId="44" fontId="77" fillId="15" borderId="18" xfId="37" applyFont="1" applyFill="1" applyBorder="1">
      <alignment vertical="center"/>
    </xf>
    <xf numFmtId="10" fontId="77" fillId="15" borderId="18" xfId="1" applyNumberFormat="1" applyFont="1" applyFill="1" applyBorder="1" applyAlignment="1">
      <alignment horizontal="center" vertical="center"/>
    </xf>
    <xf numFmtId="0" fontId="77" fillId="15" borderId="18" xfId="38" applyFont="1" applyFill="1" applyBorder="1" applyAlignment="1">
      <alignment horizontal="center" vertical="center"/>
    </xf>
    <xf numFmtId="4" fontId="76" fillId="15" borderId="19" xfId="38" applyNumberFormat="1" applyFont="1" applyFill="1" applyBorder="1" applyAlignment="1">
      <alignment horizontal="center" vertical="center"/>
    </xf>
    <xf numFmtId="0" fontId="5" fillId="11" borderId="15" xfId="0" applyFont="1" applyFill="1" applyBorder="1" applyAlignment="1">
      <alignment vertical="center" wrapText="1"/>
    </xf>
    <xf numFmtId="0" fontId="16" fillId="11" borderId="26" xfId="0" applyFont="1" applyFill="1" applyBorder="1" applyAlignment="1">
      <alignment horizontal="center" vertical="center"/>
    </xf>
    <xf numFmtId="0" fontId="5" fillId="0" borderId="57" xfId="0" applyFont="1" applyBorder="1" applyAlignment="1">
      <alignment horizontal="center" vertical="center" wrapText="1"/>
    </xf>
    <xf numFmtId="3" fontId="21" fillId="3" borderId="1" xfId="8" applyFont="1" applyFill="1" applyBorder="1">
      <alignment horizontal="center" vertical="center"/>
    </xf>
    <xf numFmtId="3" fontId="12" fillId="18" borderId="57" xfId="8" applyNumberFormat="1" applyFill="1" applyBorder="1">
      <alignment horizontal="center" vertical="center"/>
    </xf>
    <xf numFmtId="3" fontId="12" fillId="18" borderId="58" xfId="8" applyNumberFormat="1" applyFill="1" applyBorder="1">
      <alignment horizontal="center" vertical="center"/>
    </xf>
    <xf numFmtId="3" fontId="12" fillId="6" borderId="80" xfId="8" applyFill="1" applyBorder="1">
      <alignment horizontal="center" vertical="center"/>
    </xf>
    <xf numFmtId="3" fontId="5" fillId="18" borderId="57" xfId="8" applyFont="1" applyFill="1" applyBorder="1">
      <alignment horizontal="center" vertical="center"/>
    </xf>
    <xf numFmtId="1" fontId="12" fillId="3" borderId="1" xfId="8" applyNumberFormat="1" applyFill="1" applyBorder="1">
      <alignment horizontal="center" vertical="center"/>
    </xf>
    <xf numFmtId="1" fontId="12" fillId="0" borderId="1" xfId="8" applyNumberFormat="1" applyBorder="1">
      <alignment horizontal="center" vertical="center"/>
    </xf>
    <xf numFmtId="0" fontId="15" fillId="3" borderId="13"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7" xfId="0" applyFont="1" applyFill="1" applyBorder="1" applyAlignment="1">
      <alignment horizontal="center" vertical="center"/>
    </xf>
    <xf numFmtId="0" fontId="15" fillId="3" borderId="13"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7" xfId="0" applyFont="1" applyFill="1" applyBorder="1" applyAlignment="1">
      <alignment horizontal="center" vertical="center"/>
    </xf>
    <xf numFmtId="169" fontId="38" fillId="0" borderId="70" xfId="3" applyNumberFormat="1" applyFont="1" applyBorder="1" applyAlignment="1" applyProtection="1">
      <alignment horizontal="center" vertical="center"/>
      <protection hidden="1"/>
    </xf>
    <xf numFmtId="0" fontId="47" fillId="20" borderId="61" xfId="16" applyFont="1" applyFill="1" applyBorder="1" applyAlignment="1" applyProtection="1">
      <alignment horizontal="center" vertical="center"/>
      <protection hidden="1"/>
    </xf>
    <xf numFmtId="0" fontId="46" fillId="3" borderId="52" xfId="16" applyFont="1" applyFill="1" applyBorder="1" applyAlignment="1" applyProtection="1">
      <alignment horizontal="center" vertical="center" wrapText="1"/>
      <protection hidden="1"/>
    </xf>
    <xf numFmtId="0" fontId="46" fillId="3" borderId="57" xfId="16" applyFont="1" applyFill="1" applyBorder="1" applyAlignment="1" applyProtection="1">
      <alignment horizontal="center" vertical="center" wrapText="1"/>
      <protection hidden="1"/>
    </xf>
    <xf numFmtId="0" fontId="46" fillId="3" borderId="58" xfId="16" applyFont="1" applyFill="1" applyBorder="1" applyAlignment="1" applyProtection="1">
      <alignment horizontal="center" vertical="center" wrapText="1"/>
      <protection hidden="1"/>
    </xf>
    <xf numFmtId="0" fontId="46" fillId="3" borderId="72" xfId="16" applyFont="1" applyFill="1" applyBorder="1" applyAlignment="1" applyProtection="1">
      <alignment horizontal="center" vertical="center" wrapText="1"/>
      <protection hidden="1"/>
    </xf>
    <xf numFmtId="0" fontId="46" fillId="3" borderId="54" xfId="16" applyFont="1" applyFill="1" applyBorder="1" applyAlignment="1" applyProtection="1">
      <alignment horizontal="center" vertical="center" wrapText="1"/>
      <protection hidden="1"/>
    </xf>
    <xf numFmtId="171" fontId="46" fillId="3" borderId="46" xfId="16" applyNumberFormat="1" applyFont="1" applyFill="1" applyBorder="1" applyAlignment="1" applyProtection="1">
      <alignment horizontal="center" vertical="center" wrapText="1"/>
      <protection hidden="1"/>
    </xf>
    <xf numFmtId="0" fontId="46" fillId="3" borderId="4" xfId="16" applyFont="1" applyFill="1" applyBorder="1" applyAlignment="1" applyProtection="1">
      <alignment horizontal="center" vertical="center" wrapText="1"/>
      <protection hidden="1"/>
    </xf>
    <xf numFmtId="0" fontId="46" fillId="3" borderId="29" xfId="16" applyFont="1" applyFill="1" applyBorder="1" applyAlignment="1" applyProtection="1">
      <alignment horizontal="center" vertical="center" wrapText="1"/>
      <protection hidden="1"/>
    </xf>
    <xf numFmtId="0" fontId="46" fillId="3" borderId="6" xfId="16" applyFont="1" applyFill="1" applyBorder="1" applyAlignment="1" applyProtection="1">
      <alignment horizontal="center" vertical="center" wrapText="1"/>
      <protection hidden="1"/>
    </xf>
    <xf numFmtId="0" fontId="46" fillId="3" borderId="23" xfId="16" applyFont="1" applyFill="1" applyBorder="1" applyAlignment="1" applyProtection="1">
      <alignment horizontal="center" vertical="center" wrapText="1"/>
      <protection hidden="1"/>
    </xf>
    <xf numFmtId="0" fontId="5" fillId="5" borderId="60" xfId="0" applyFont="1" applyFill="1" applyBorder="1" applyAlignment="1">
      <alignment horizontal="center" vertical="center" wrapText="1"/>
    </xf>
    <xf numFmtId="171" fontId="5" fillId="15" borderId="0" xfId="0" applyNumberFormat="1" applyFont="1" applyFill="1"/>
    <xf numFmtId="0" fontId="36" fillId="33" borderId="26" xfId="16" applyFont="1" applyFill="1" applyBorder="1" applyAlignment="1" applyProtection="1">
      <alignment horizontal="center" vertical="center" wrapText="1"/>
      <protection hidden="1"/>
    </xf>
    <xf numFmtId="0" fontId="36" fillId="33" borderId="18" xfId="16" applyFont="1" applyFill="1" applyBorder="1" applyAlignment="1" applyProtection="1">
      <alignment horizontal="center" vertical="center" wrapText="1"/>
      <protection hidden="1"/>
    </xf>
    <xf numFmtId="0" fontId="36" fillId="33" borderId="58" xfId="16" applyFont="1" applyFill="1" applyBorder="1" applyAlignment="1" applyProtection="1">
      <alignment horizontal="center" vertical="center" wrapText="1"/>
      <protection hidden="1"/>
    </xf>
    <xf numFmtId="0" fontId="36" fillId="33" borderId="74" xfId="16" applyFont="1" applyFill="1" applyBorder="1" applyAlignment="1" applyProtection="1">
      <alignment horizontal="center" vertical="center" wrapText="1"/>
      <protection hidden="1"/>
    </xf>
    <xf numFmtId="0" fontId="36" fillId="34" borderId="26" xfId="16" applyFont="1" applyFill="1" applyBorder="1" applyAlignment="1" applyProtection="1">
      <alignment horizontal="center" vertical="center" wrapText="1"/>
      <protection hidden="1"/>
    </xf>
    <xf numFmtId="0" fontId="36" fillId="34" borderId="18" xfId="16" applyFont="1" applyFill="1" applyBorder="1" applyAlignment="1" applyProtection="1">
      <alignment horizontal="center" vertical="center" wrapText="1"/>
      <protection hidden="1"/>
    </xf>
    <xf numFmtId="0" fontId="36" fillId="34" borderId="58" xfId="16" applyFont="1" applyFill="1" applyBorder="1" applyAlignment="1" applyProtection="1">
      <alignment horizontal="center" vertical="center" wrapText="1"/>
      <protection hidden="1"/>
    </xf>
    <xf numFmtId="0" fontId="36" fillId="34" borderId="74" xfId="16" applyFont="1" applyFill="1" applyBorder="1" applyAlignment="1" applyProtection="1">
      <alignment horizontal="center" vertical="center" wrapText="1"/>
      <protection hidden="1"/>
    </xf>
    <xf numFmtId="0" fontId="5" fillId="15" borderId="0" xfId="0" applyFont="1" applyFill="1" applyAlignment="1">
      <alignment horizontal="center"/>
    </xf>
    <xf numFmtId="0" fontId="78" fillId="0" borderId="0" xfId="0" applyFont="1" applyAlignment="1">
      <alignment vertical="center"/>
    </xf>
    <xf numFmtId="0" fontId="79" fillId="0" borderId="0" xfId="0" applyFont="1" applyAlignment="1">
      <alignment horizontal="center" vertical="center"/>
    </xf>
    <xf numFmtId="0" fontId="79" fillId="0" borderId="0" xfId="0" applyFont="1" applyAlignment="1">
      <alignment vertical="center"/>
    </xf>
    <xf numFmtId="0" fontId="80" fillId="35" borderId="92" xfId="0" applyFont="1" applyFill="1" applyBorder="1" applyAlignment="1">
      <alignment vertical="center"/>
    </xf>
    <xf numFmtId="0" fontId="80" fillId="35" borderId="93" xfId="0" applyFont="1" applyFill="1" applyBorder="1" applyAlignment="1">
      <alignment horizontal="center" vertical="center" wrapText="1"/>
    </xf>
    <xf numFmtId="0" fontId="80" fillId="35" borderId="94" xfId="0" applyFont="1" applyFill="1" applyBorder="1" applyAlignment="1">
      <alignment horizontal="center" vertical="center" wrapText="1"/>
    </xf>
    <xf numFmtId="0" fontId="79" fillId="36" borderId="92" xfId="0" applyFont="1" applyFill="1" applyBorder="1" applyAlignment="1">
      <alignment vertical="center"/>
    </xf>
    <xf numFmtId="0" fontId="79" fillId="36" borderId="93" xfId="0" applyFont="1" applyFill="1" applyBorder="1" applyAlignment="1">
      <alignment horizontal="center" vertical="center"/>
    </xf>
    <xf numFmtId="0" fontId="79" fillId="36" borderId="94" xfId="0" applyFont="1" applyFill="1" applyBorder="1" applyAlignment="1">
      <alignment vertical="center" wrapText="1"/>
    </xf>
    <xf numFmtId="0" fontId="79" fillId="0" borderId="92" xfId="0" applyFont="1" applyBorder="1" applyAlignment="1">
      <alignment vertical="center"/>
    </xf>
    <xf numFmtId="0" fontId="79" fillId="0" borderId="93" xfId="0" applyFont="1" applyBorder="1" applyAlignment="1">
      <alignment horizontal="center" vertical="center"/>
    </xf>
    <xf numFmtId="0" fontId="79" fillId="0" borderId="94" xfId="0" applyFont="1" applyBorder="1" applyAlignment="1">
      <alignment vertical="center" wrapText="1"/>
    </xf>
    <xf numFmtId="0" fontId="79" fillId="36" borderId="94" xfId="0" applyFont="1" applyFill="1" applyBorder="1" applyAlignment="1">
      <alignment horizontal="center" vertical="center" wrapText="1"/>
    </xf>
    <xf numFmtId="0" fontId="79" fillId="0" borderId="95" xfId="0" applyFont="1" applyBorder="1" applyAlignment="1">
      <alignment vertical="center"/>
    </xf>
    <xf numFmtId="0" fontId="79" fillId="0" borderId="96" xfId="0" applyFont="1" applyBorder="1" applyAlignment="1">
      <alignment horizontal="center" vertical="center"/>
    </xf>
    <xf numFmtId="0" fontId="79" fillId="36" borderId="95" xfId="0" applyFont="1" applyFill="1" applyBorder="1" applyAlignment="1">
      <alignment vertical="center"/>
    </xf>
    <xf numFmtId="0" fontId="79" fillId="36" borderId="97" xfId="0" applyFont="1" applyFill="1" applyBorder="1" applyAlignment="1">
      <alignment horizontal="center" vertical="center"/>
    </xf>
    <xf numFmtId="0" fontId="83" fillId="0" borderId="0" xfId="0" applyFont="1" applyAlignment="1">
      <alignment vertical="center"/>
    </xf>
    <xf numFmtId="0" fontId="79" fillId="0" borderId="0" xfId="0" applyFont="1" applyAlignment="1">
      <alignment vertical="top"/>
    </xf>
    <xf numFmtId="0" fontId="79" fillId="0" borderId="0" xfId="0" applyFont="1" applyAlignment="1">
      <alignment horizontal="center" vertical="top"/>
    </xf>
    <xf numFmtId="0" fontId="79" fillId="0" borderId="0" xfId="0" quotePrefix="1" applyFont="1" applyAlignment="1">
      <alignment vertical="center"/>
    </xf>
    <xf numFmtId="0" fontId="79" fillId="36" borderId="93" xfId="0" applyFont="1" applyFill="1" applyBorder="1" applyAlignment="1">
      <alignment horizontal="center" vertical="center" wrapText="1"/>
    </xf>
    <xf numFmtId="0" fontId="83" fillId="0" borderId="92" xfId="0" applyFont="1" applyBorder="1" applyAlignment="1">
      <alignment vertical="center"/>
    </xf>
    <xf numFmtId="0" fontId="79" fillId="0" borderId="93" xfId="0" applyFont="1" applyBorder="1" applyAlignment="1">
      <alignment horizontal="center" vertical="center" wrapText="1"/>
    </xf>
    <xf numFmtId="0" fontId="79" fillId="0" borderId="94" xfId="0" applyFont="1" applyBorder="1" applyAlignment="1">
      <alignment horizontal="center" vertical="center"/>
    </xf>
    <xf numFmtId="2" fontId="79" fillId="36" borderId="93" xfId="0" applyNumberFormat="1" applyFont="1" applyFill="1" applyBorder="1" applyAlignment="1">
      <alignment horizontal="center" vertical="center"/>
    </xf>
    <xf numFmtId="0" fontId="79" fillId="36" borderId="94" xfId="0" applyFont="1" applyFill="1" applyBorder="1" applyAlignment="1">
      <alignment horizontal="center" vertical="center"/>
    </xf>
    <xf numFmtId="2" fontId="79" fillId="0" borderId="93" xfId="0" applyNumberFormat="1" applyFont="1" applyBorder="1" applyAlignment="1">
      <alignment horizontal="center" vertical="center"/>
    </xf>
    <xf numFmtId="0" fontId="83" fillId="36" borderId="92" xfId="0" applyFont="1" applyFill="1" applyBorder="1" applyAlignment="1">
      <alignment vertical="center"/>
    </xf>
    <xf numFmtId="2" fontId="79" fillId="0" borderId="96" xfId="0" applyNumberFormat="1" applyFont="1" applyBorder="1" applyAlignment="1">
      <alignment horizontal="center" vertical="center"/>
    </xf>
    <xf numFmtId="0" fontId="79" fillId="0" borderId="97" xfId="0" applyFont="1" applyBorder="1" applyAlignment="1">
      <alignment horizontal="center" vertical="center"/>
    </xf>
    <xf numFmtId="0" fontId="79" fillId="0" borderId="0" xfId="0" applyFont="1" applyBorder="1" applyAlignment="1">
      <alignment vertical="center"/>
    </xf>
    <xf numFmtId="0" fontId="79" fillId="0" borderId="0" xfId="0" applyFont="1" applyBorder="1" applyAlignment="1">
      <alignment horizontal="center" vertical="center"/>
    </xf>
    <xf numFmtId="0" fontId="79" fillId="0" borderId="0" xfId="0" applyFont="1" applyBorder="1" applyAlignment="1">
      <alignment vertical="center" wrapText="1"/>
    </xf>
    <xf numFmtId="0" fontId="88" fillId="0" borderId="0" xfId="39" applyFont="1" applyAlignment="1">
      <alignment horizontal="justify" vertical="top"/>
    </xf>
    <xf numFmtId="0" fontId="88" fillId="0" borderId="0" xfId="39" applyFont="1" applyAlignment="1">
      <alignment horizontal="left" vertical="top" wrapText="1"/>
    </xf>
    <xf numFmtId="0" fontId="89" fillId="0" borderId="0" xfId="39" applyFont="1" applyAlignment="1">
      <alignment vertical="top"/>
    </xf>
    <xf numFmtId="0" fontId="90" fillId="0" borderId="0" xfId="39" applyFont="1" applyAlignment="1">
      <alignment horizontal="justify" vertical="top"/>
    </xf>
    <xf numFmtId="0" fontId="91" fillId="0" borderId="0" xfId="39" applyFont="1" applyAlignment="1">
      <alignment horizontal="justify" vertical="top"/>
    </xf>
    <xf numFmtId="0" fontId="89" fillId="0" borderId="0" xfId="39" applyFont="1" applyAlignment="1">
      <alignment horizontal="justify" vertical="top"/>
    </xf>
    <xf numFmtId="0" fontId="89" fillId="0" borderId="0" xfId="39" quotePrefix="1" applyFont="1" applyAlignment="1">
      <alignment horizontal="justify" vertical="top"/>
    </xf>
    <xf numFmtId="0" fontId="88" fillId="0" borderId="0" xfId="39" applyFont="1" applyAlignment="1">
      <alignment horizontal="justify" vertical="center"/>
    </xf>
    <xf numFmtId="0" fontId="89" fillId="0" borderId="0" xfId="39" applyFont="1"/>
    <xf numFmtId="0" fontId="90" fillId="0" borderId="0" xfId="39" applyFont="1" applyAlignment="1">
      <alignment horizontal="justify" vertical="center"/>
    </xf>
    <xf numFmtId="0" fontId="92" fillId="0" borderId="0" xfId="39" applyFont="1" applyAlignment="1">
      <alignment horizontal="justify" vertical="center"/>
    </xf>
    <xf numFmtId="0" fontId="93" fillId="0" borderId="0" xfId="39" applyFont="1" applyAlignment="1">
      <alignment horizontal="left" vertical="center" indent="2"/>
    </xf>
    <xf numFmtId="0" fontId="22" fillId="0" borderId="0" xfId="39" applyFont="1" applyAlignment="1">
      <alignment horizontal="left" vertical="center" indent="2"/>
    </xf>
    <xf numFmtId="0" fontId="22" fillId="0" borderId="0" xfId="39" applyFont="1" applyAlignment="1">
      <alignment horizontal="left" vertical="center"/>
    </xf>
    <xf numFmtId="0" fontId="94" fillId="0" borderId="0" xfId="39" applyFont="1" applyAlignment="1">
      <alignment horizontal="left" vertical="center" indent="2"/>
    </xf>
    <xf numFmtId="0" fontId="90" fillId="0" borderId="0" xfId="39" applyFont="1" applyAlignment="1">
      <alignment horizontal="left" vertical="center" indent="2"/>
    </xf>
    <xf numFmtId="0" fontId="95" fillId="0" borderId="0" xfId="39" applyFont="1" applyAlignment="1">
      <alignment horizontal="justify" vertical="center"/>
    </xf>
    <xf numFmtId="0" fontId="5" fillId="15" borderId="0" xfId="0" applyFont="1" applyFill="1" applyAlignment="1">
      <alignment horizontal="center"/>
    </xf>
    <xf numFmtId="0" fontId="13" fillId="15" borderId="0" xfId="0" applyFont="1" applyFill="1" applyAlignment="1">
      <alignment horizontal="center" vertical="center"/>
    </xf>
    <xf numFmtId="0" fontId="14" fillId="15" borderId="0" xfId="0" applyFont="1" applyFill="1" applyAlignment="1">
      <alignment horizontal="center" vertical="center"/>
    </xf>
    <xf numFmtId="0" fontId="16" fillId="15" borderId="0" xfId="10" applyFill="1" applyAlignment="1">
      <alignment horizontal="center" vertical="center"/>
    </xf>
    <xf numFmtId="0" fontId="16" fillId="15" borderId="0" xfId="10" applyFill="1" applyAlignment="1">
      <alignment horizontal="left" vertical="center"/>
    </xf>
    <xf numFmtId="0" fontId="79" fillId="0" borderId="0" xfId="0" applyFont="1" applyAlignment="1">
      <alignment horizontal="left" vertical="top" wrapText="1"/>
    </xf>
    <xf numFmtId="0" fontId="79" fillId="0" borderId="0" xfId="0" applyFont="1" applyAlignment="1">
      <alignment horizontal="left" vertical="center" wrapText="1"/>
    </xf>
    <xf numFmtId="0" fontId="0" fillId="15" borderId="0" xfId="0" applyFill="1" applyAlignment="1"/>
    <xf numFmtId="0" fontId="5" fillId="13" borderId="2" xfId="0" applyFont="1" applyFill="1" applyBorder="1" applyAlignment="1">
      <alignment horizontal="center" vertical="center"/>
    </xf>
    <xf numFmtId="0" fontId="5" fillId="13" borderId="3" xfId="0" applyFont="1" applyFill="1" applyBorder="1" applyAlignment="1">
      <alignment horizontal="center" vertical="center"/>
    </xf>
    <xf numFmtId="0" fontId="5" fillId="13" borderId="4" xfId="0" applyFont="1" applyFill="1" applyBorder="1" applyAlignment="1">
      <alignment horizontal="center" vertical="center"/>
    </xf>
    <xf numFmtId="0" fontId="5" fillId="13" borderId="5" xfId="0" applyFont="1" applyFill="1" applyBorder="1" applyAlignment="1">
      <alignment horizontal="center" vertical="center"/>
    </xf>
    <xf numFmtId="0" fontId="5" fillId="13" borderId="29" xfId="0" applyFont="1" applyFill="1" applyBorder="1" applyAlignment="1">
      <alignment horizontal="center" vertical="center"/>
    </xf>
    <xf numFmtId="0" fontId="5" fillId="13" borderId="30" xfId="0" applyFont="1" applyFill="1" applyBorder="1" applyAlignment="1">
      <alignment horizontal="center" vertical="center"/>
    </xf>
    <xf numFmtId="0" fontId="20" fillId="4" borderId="13" xfId="0" applyFont="1" applyFill="1" applyBorder="1" applyAlignment="1">
      <alignment horizontal="left" vertical="center"/>
    </xf>
    <xf numFmtId="0" fontId="20" fillId="4" borderId="7" xfId="0" applyFont="1" applyFill="1" applyBorder="1" applyAlignment="1">
      <alignment horizontal="left" vertical="center"/>
    </xf>
    <xf numFmtId="0" fontId="15" fillId="3" borderId="13"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7" xfId="0" applyFont="1" applyFill="1" applyBorder="1" applyAlignment="1">
      <alignment horizontal="center" vertical="center"/>
    </xf>
    <xf numFmtId="0" fontId="15" fillId="5" borderId="10" xfId="0" applyFont="1" applyFill="1" applyBorder="1" applyAlignment="1">
      <alignment horizontal="left" vertical="center"/>
    </xf>
    <xf numFmtId="0" fontId="15" fillId="5" borderId="11" xfId="0" applyFont="1" applyFill="1" applyBorder="1" applyAlignment="1">
      <alignment horizontal="left" vertical="center"/>
    </xf>
    <xf numFmtId="0" fontId="15" fillId="5" borderId="12" xfId="0" applyFont="1" applyFill="1" applyBorder="1" applyAlignment="1">
      <alignment horizontal="left" vertical="center"/>
    </xf>
    <xf numFmtId="0" fontId="26" fillId="14" borderId="25" xfId="3" applyFont="1" applyFill="1" applyBorder="1" applyAlignment="1" applyProtection="1">
      <alignment horizontal="left" vertical="center"/>
      <protection hidden="1"/>
    </xf>
    <xf numFmtId="0" fontId="26" fillId="14" borderId="26" xfId="3" applyFont="1" applyFill="1" applyBorder="1" applyAlignment="1" applyProtection="1">
      <alignment horizontal="left" vertical="center"/>
      <protection hidden="1"/>
    </xf>
    <xf numFmtId="0" fontId="26" fillId="14" borderId="27" xfId="3" applyFont="1" applyFill="1" applyBorder="1" applyAlignment="1" applyProtection="1">
      <alignment horizontal="left" vertical="center"/>
      <protection hidden="1"/>
    </xf>
    <xf numFmtId="0" fontId="27" fillId="14" borderId="23" xfId="3" applyFont="1" applyFill="1" applyBorder="1" applyAlignment="1" applyProtection="1">
      <alignment horizontal="center" vertical="center"/>
      <protection hidden="1"/>
    </xf>
    <xf numFmtId="0" fontId="27" fillId="14" borderId="24" xfId="3" applyFont="1" applyFill="1" applyBorder="1" applyAlignment="1" applyProtection="1">
      <alignment horizontal="center" vertical="center"/>
      <protection hidden="1"/>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15" fillId="3" borderId="34" xfId="0" applyFont="1" applyFill="1" applyBorder="1" applyAlignment="1">
      <alignment horizontal="center" vertical="center"/>
    </xf>
    <xf numFmtId="0" fontId="15" fillId="3" borderId="35" xfId="0" applyFont="1" applyFill="1" applyBorder="1" applyAlignment="1">
      <alignment horizontal="center" vertical="center"/>
    </xf>
    <xf numFmtId="0" fontId="15" fillId="3" borderId="36" xfId="0" applyFont="1" applyFill="1" applyBorder="1" applyAlignment="1">
      <alignment horizontal="center" vertical="center"/>
    </xf>
    <xf numFmtId="0" fontId="62" fillId="29" borderId="20" xfId="35" applyFont="1" applyFill="1" applyBorder="1" applyAlignment="1">
      <alignment horizontal="center"/>
    </xf>
    <xf numFmtId="0" fontId="62" fillId="29" borderId="61" xfId="35" applyFont="1" applyFill="1" applyBorder="1" applyAlignment="1">
      <alignment horizontal="center"/>
    </xf>
    <xf numFmtId="0" fontId="62" fillId="29" borderId="62" xfId="35" applyFont="1" applyFill="1" applyBorder="1" applyAlignment="1">
      <alignment horizontal="center"/>
    </xf>
    <xf numFmtId="0" fontId="62" fillId="29" borderId="10" xfId="35" applyFont="1" applyFill="1" applyBorder="1" applyAlignment="1">
      <alignment horizontal="center"/>
    </xf>
    <xf numFmtId="0" fontId="62" fillId="29" borderId="11" xfId="35" applyFont="1" applyFill="1" applyBorder="1" applyAlignment="1">
      <alignment horizontal="center"/>
    </xf>
    <xf numFmtId="0" fontId="62" fillId="29" borderId="12" xfId="35" applyFont="1" applyFill="1" applyBorder="1" applyAlignment="1">
      <alignment horizontal="center"/>
    </xf>
    <xf numFmtId="0" fontId="62" fillId="29" borderId="63" xfId="35" applyFont="1" applyFill="1" applyBorder="1" applyAlignment="1">
      <alignment horizontal="center"/>
    </xf>
    <xf numFmtId="0" fontId="62" fillId="29" borderId="66" xfId="35" applyFont="1" applyFill="1" applyBorder="1" applyAlignment="1">
      <alignment horizontal="center"/>
    </xf>
    <xf numFmtId="0" fontId="46" fillId="3" borderId="23" xfId="16" applyFont="1" applyFill="1" applyBorder="1" applyAlignment="1" applyProtection="1">
      <alignment horizontal="center" vertical="center" wrapText="1"/>
      <protection hidden="1"/>
    </xf>
    <xf numFmtId="0" fontId="46" fillId="3" borderId="51" xfId="16" applyFont="1" applyFill="1" applyBorder="1" applyAlignment="1" applyProtection="1">
      <alignment horizontal="center" vertical="center" wrapText="1"/>
      <protection hidden="1"/>
    </xf>
    <xf numFmtId="193" fontId="38" fillId="18" borderId="67" xfId="34" applyNumberFormat="1" applyFont="1" applyFill="1" applyBorder="1" applyAlignment="1" applyProtection="1">
      <alignment horizontal="center" vertical="center"/>
      <protection hidden="1"/>
    </xf>
    <xf numFmtId="193" fontId="38" fillId="18" borderId="70" xfId="34" applyNumberFormat="1" applyFont="1" applyFill="1" applyBorder="1" applyAlignment="1" applyProtection="1">
      <alignment horizontal="center" vertical="center"/>
      <protection hidden="1"/>
    </xf>
    <xf numFmtId="193" fontId="38" fillId="18" borderId="72" xfId="34" applyNumberFormat="1" applyFont="1" applyFill="1" applyBorder="1" applyAlignment="1" applyProtection="1">
      <alignment horizontal="center" vertical="center"/>
      <protection hidden="1"/>
    </xf>
    <xf numFmtId="0" fontId="37" fillId="19" borderId="6" xfId="16" applyFont="1" applyFill="1" applyBorder="1" applyAlignment="1" applyProtection="1">
      <alignment horizontal="center" vertical="center" wrapText="1"/>
      <protection hidden="1"/>
    </xf>
    <xf numFmtId="0" fontId="37" fillId="19" borderId="16" xfId="16" applyFont="1" applyFill="1" applyBorder="1" applyAlignment="1" applyProtection="1">
      <alignment horizontal="center" vertical="center" wrapText="1"/>
      <protection hidden="1"/>
    </xf>
    <xf numFmtId="181" fontId="38" fillId="18" borderId="46" xfId="19" applyNumberFormat="1" applyFont="1" applyFill="1" applyBorder="1" applyAlignment="1" applyProtection="1">
      <alignment horizontal="center" vertical="center"/>
      <protection hidden="1"/>
    </xf>
    <xf numFmtId="181" fontId="38" fillId="18" borderId="71" xfId="19" applyNumberFormat="1" applyFont="1" applyFill="1" applyBorder="1" applyAlignment="1" applyProtection="1">
      <alignment horizontal="center" vertical="center"/>
      <protection hidden="1"/>
    </xf>
    <xf numFmtId="181" fontId="38" fillId="18" borderId="74" xfId="19" applyNumberFormat="1" applyFont="1" applyFill="1" applyBorder="1" applyAlignment="1" applyProtection="1">
      <alignment horizontal="center" vertical="center"/>
      <protection hidden="1"/>
    </xf>
    <xf numFmtId="0" fontId="46" fillId="3" borderId="6" xfId="16" applyFont="1" applyFill="1" applyBorder="1" applyAlignment="1" applyProtection="1">
      <alignment horizontal="center" vertical="center" wrapText="1"/>
      <protection hidden="1"/>
    </xf>
    <xf numFmtId="0" fontId="46" fillId="3" borderId="16" xfId="16" applyFont="1" applyFill="1" applyBorder="1" applyAlignment="1" applyProtection="1">
      <alignment horizontal="center" vertical="center" wrapText="1"/>
      <protection hidden="1"/>
    </xf>
    <xf numFmtId="0" fontId="37" fillId="19" borderId="8" xfId="16" applyFont="1" applyFill="1" applyBorder="1" applyAlignment="1" applyProtection="1">
      <alignment horizontal="center" vertical="center" wrapText="1"/>
      <protection hidden="1"/>
    </xf>
    <xf numFmtId="0" fontId="47" fillId="20" borderId="20" xfId="16" applyFont="1" applyFill="1" applyBorder="1" applyAlignment="1" applyProtection="1">
      <alignment horizontal="center" vertical="center"/>
      <protection hidden="1"/>
    </xf>
    <xf numFmtId="0" fontId="47" fillId="20" borderId="61" xfId="16" applyFont="1" applyFill="1" applyBorder="1" applyAlignment="1" applyProtection="1">
      <alignment horizontal="center" vertical="center"/>
      <protection hidden="1"/>
    </xf>
    <xf numFmtId="0" fontId="47" fillId="20" borderId="62" xfId="16" applyFont="1" applyFill="1" applyBorder="1" applyAlignment="1" applyProtection="1">
      <alignment horizontal="center" vertical="center"/>
      <protection hidden="1"/>
    </xf>
    <xf numFmtId="0" fontId="37" fillId="19" borderId="29" xfId="16" applyFont="1" applyFill="1" applyBorder="1" applyAlignment="1" applyProtection="1">
      <alignment horizontal="center" vertical="center" wrapText="1"/>
      <protection hidden="1"/>
    </xf>
    <xf numFmtId="0" fontId="37" fillId="19" borderId="78" xfId="16" applyFont="1" applyFill="1" applyBorder="1" applyAlignment="1" applyProtection="1">
      <alignment horizontal="center" vertical="center" wrapText="1"/>
      <protection hidden="1"/>
    </xf>
    <xf numFmtId="173" fontId="38" fillId="18" borderId="65" xfId="19" applyNumberFormat="1" applyFont="1" applyFill="1" applyBorder="1" applyAlignment="1" applyProtection="1">
      <alignment horizontal="center" vertical="center"/>
      <protection hidden="1"/>
    </xf>
    <xf numFmtId="173" fontId="38" fillId="18" borderId="4" xfId="19" applyNumberFormat="1" applyFont="1" applyFill="1" applyBorder="1" applyAlignment="1" applyProtection="1">
      <alignment horizontal="center" vertical="center"/>
      <protection hidden="1"/>
    </xf>
    <xf numFmtId="173" fontId="38" fillId="18" borderId="29" xfId="19" applyNumberFormat="1" applyFont="1" applyFill="1" applyBorder="1" applyAlignment="1" applyProtection="1">
      <alignment horizontal="center" vertical="center"/>
      <protection hidden="1"/>
    </xf>
    <xf numFmtId="173" fontId="38" fillId="18" borderId="67" xfId="19" applyNumberFormat="1" applyFont="1" applyFill="1" applyBorder="1" applyAlignment="1" applyProtection="1">
      <alignment horizontal="center" vertical="center"/>
      <protection hidden="1"/>
    </xf>
    <xf numFmtId="173" fontId="38" fillId="18" borderId="70" xfId="19" applyNumberFormat="1" applyFont="1" applyFill="1" applyBorder="1" applyAlignment="1" applyProtection="1">
      <alignment horizontal="center" vertical="center"/>
      <protection hidden="1"/>
    </xf>
    <xf numFmtId="173" fontId="38" fillId="18" borderId="72" xfId="19" applyNumberFormat="1" applyFont="1" applyFill="1" applyBorder="1" applyAlignment="1" applyProtection="1">
      <alignment horizontal="center" vertical="center"/>
      <protection hidden="1"/>
    </xf>
    <xf numFmtId="0" fontId="40" fillId="0" borderId="5" xfId="16" applyFont="1" applyBorder="1" applyAlignment="1" applyProtection="1">
      <alignment horizontal="left" vertical="center" wrapText="1"/>
      <protection hidden="1"/>
    </xf>
    <xf numFmtId="0" fontId="41" fillId="18" borderId="2" xfId="16" applyFont="1" applyFill="1" applyBorder="1" applyAlignment="1" applyProtection="1">
      <alignment horizontal="center" vertical="center" wrapText="1"/>
      <protection hidden="1"/>
    </xf>
    <xf numFmtId="0" fontId="41" fillId="18" borderId="53" xfId="16" applyFont="1" applyFill="1" applyBorder="1" applyAlignment="1" applyProtection="1">
      <alignment horizontal="center" vertical="center" wrapText="1"/>
      <protection hidden="1"/>
    </xf>
    <xf numFmtId="0" fontId="41" fillId="18" borderId="3" xfId="16" applyFont="1" applyFill="1" applyBorder="1" applyAlignment="1" applyProtection="1">
      <alignment horizontal="center" vertical="center" wrapText="1"/>
      <protection hidden="1"/>
    </xf>
    <xf numFmtId="0" fontId="41" fillId="18" borderId="54" xfId="16" applyFont="1" applyFill="1" applyBorder="1" applyAlignment="1" applyProtection="1">
      <alignment horizontal="center" vertical="center" wrapText="1"/>
      <protection hidden="1"/>
    </xf>
    <xf numFmtId="0" fontId="41" fillId="18" borderId="48" xfId="16" applyFont="1" applyFill="1" applyBorder="1" applyAlignment="1" applyProtection="1">
      <alignment horizontal="center" vertical="center" wrapText="1"/>
      <protection hidden="1"/>
    </xf>
    <xf numFmtId="0" fontId="41" fillId="18" borderId="55" xfId="16" applyFont="1" applyFill="1" applyBorder="1" applyAlignment="1" applyProtection="1">
      <alignment horizontal="center" vertical="center" wrapText="1"/>
      <protection hidden="1"/>
    </xf>
    <xf numFmtId="0" fontId="37" fillId="0" borderId="2" xfId="16" applyFont="1" applyBorder="1" applyAlignment="1" applyProtection="1">
      <alignment horizontal="left" vertical="top" wrapText="1"/>
      <protection hidden="1"/>
    </xf>
    <xf numFmtId="0" fontId="37" fillId="0" borderId="53" xfId="16" applyFont="1" applyBorder="1" applyAlignment="1" applyProtection="1">
      <alignment horizontal="left" vertical="top" wrapText="1"/>
      <protection hidden="1"/>
    </xf>
    <xf numFmtId="0" fontId="37" fillId="0" borderId="3" xfId="16" applyFont="1" applyBorder="1" applyAlignment="1" applyProtection="1">
      <alignment horizontal="left" vertical="top" wrapText="1"/>
      <protection hidden="1"/>
    </xf>
    <xf numFmtId="0" fontId="37" fillId="0" borderId="54" xfId="16" applyFont="1" applyBorder="1" applyAlignment="1" applyProtection="1">
      <alignment horizontal="left" vertical="top" wrapText="1"/>
      <protection hidden="1"/>
    </xf>
    <xf numFmtId="0" fontId="37" fillId="0" borderId="48" xfId="16" applyFont="1" applyBorder="1" applyAlignment="1" applyProtection="1">
      <alignment horizontal="left" vertical="top" wrapText="1"/>
      <protection hidden="1"/>
    </xf>
    <xf numFmtId="0" fontId="37" fillId="0" borderId="55" xfId="16" applyFont="1" applyBorder="1" applyAlignment="1" applyProtection="1">
      <alignment horizontal="left" vertical="top" wrapText="1"/>
      <protection hidden="1"/>
    </xf>
    <xf numFmtId="0" fontId="42" fillId="0" borderId="2" xfId="16" applyFont="1" applyBorder="1" applyAlignment="1" applyProtection="1">
      <alignment horizontal="left" vertical="center" wrapText="1"/>
      <protection hidden="1"/>
    </xf>
    <xf numFmtId="0" fontId="42" fillId="0" borderId="53" xfId="16" applyFont="1" applyBorder="1" applyAlignment="1" applyProtection="1">
      <alignment horizontal="left" vertical="center" wrapText="1"/>
      <protection hidden="1"/>
    </xf>
    <xf numFmtId="0" fontId="42" fillId="0" borderId="3" xfId="16" applyFont="1" applyBorder="1" applyAlignment="1" applyProtection="1">
      <alignment horizontal="left" vertical="center" wrapText="1"/>
      <protection hidden="1"/>
    </xf>
    <xf numFmtId="0" fontId="42" fillId="0" borderId="54" xfId="16" applyFont="1" applyBorder="1" applyAlignment="1" applyProtection="1">
      <alignment horizontal="left" vertical="center" wrapText="1"/>
      <protection hidden="1"/>
    </xf>
    <xf numFmtId="0" fontId="42" fillId="0" borderId="48" xfId="16" applyFont="1" applyBorder="1" applyAlignment="1" applyProtection="1">
      <alignment horizontal="left" vertical="center" wrapText="1"/>
      <protection hidden="1"/>
    </xf>
    <xf numFmtId="0" fontId="42" fillId="0" borderId="55" xfId="16" applyFont="1" applyBorder="1" applyAlignment="1" applyProtection="1">
      <alignment horizontal="left" vertical="center" wrapText="1"/>
      <protection hidden="1"/>
    </xf>
    <xf numFmtId="0" fontId="40" fillId="18" borderId="2" xfId="16" applyFont="1" applyFill="1" applyBorder="1" applyAlignment="1" applyProtection="1">
      <alignment horizontal="center" vertical="center"/>
      <protection hidden="1"/>
    </xf>
    <xf numFmtId="0" fontId="40" fillId="18" borderId="53" xfId="16" applyFont="1" applyFill="1" applyBorder="1" applyAlignment="1" applyProtection="1">
      <alignment horizontal="center" vertical="center"/>
      <protection hidden="1"/>
    </xf>
    <xf numFmtId="0" fontId="40" fillId="18" borderId="3" xfId="16" applyFont="1" applyFill="1" applyBorder="1" applyAlignment="1" applyProtection="1">
      <alignment horizontal="center" vertical="center"/>
      <protection hidden="1"/>
    </xf>
    <xf numFmtId="0" fontId="40" fillId="18" borderId="54" xfId="16" applyFont="1" applyFill="1" applyBorder="1" applyAlignment="1" applyProtection="1">
      <alignment horizontal="center" vertical="center"/>
      <protection hidden="1"/>
    </xf>
    <xf numFmtId="0" fontId="40" fillId="18" borderId="48" xfId="16" applyFont="1" applyFill="1" applyBorder="1" applyAlignment="1" applyProtection="1">
      <alignment horizontal="center" vertical="center"/>
      <protection hidden="1"/>
    </xf>
    <xf numFmtId="0" fontId="40" fillId="18" borderId="55" xfId="16" applyFont="1" applyFill="1" applyBorder="1" applyAlignment="1" applyProtection="1">
      <alignment horizontal="center" vertical="center"/>
      <protection hidden="1"/>
    </xf>
    <xf numFmtId="0" fontId="37" fillId="0" borderId="1" xfId="16" applyFont="1" applyBorder="1" applyAlignment="1" applyProtection="1">
      <alignment horizontal="left" vertical="top" wrapText="1"/>
      <protection hidden="1"/>
    </xf>
    <xf numFmtId="0" fontId="39" fillId="0" borderId="6" xfId="16" applyFont="1" applyBorder="1" applyAlignment="1" applyProtection="1">
      <alignment horizontal="left" vertical="center" wrapText="1"/>
      <protection hidden="1"/>
    </xf>
    <xf numFmtId="0" fontId="39" fillId="0" borderId="8" xfId="16" applyFont="1" applyBorder="1" applyAlignment="1" applyProtection="1">
      <alignment horizontal="left" vertical="center" wrapText="1"/>
      <protection hidden="1"/>
    </xf>
    <xf numFmtId="0" fontId="39" fillId="0" borderId="7" xfId="16" applyFont="1" applyBorder="1" applyAlignment="1" applyProtection="1">
      <alignment horizontal="left" vertical="center" wrapText="1"/>
      <protection hidden="1"/>
    </xf>
    <xf numFmtId="0" fontId="37" fillId="18" borderId="2" xfId="16" applyFont="1" applyFill="1" applyBorder="1" applyAlignment="1" applyProtection="1">
      <alignment horizontal="center" vertical="center" wrapText="1"/>
      <protection hidden="1"/>
    </xf>
    <xf numFmtId="0" fontId="37" fillId="18" borderId="53" xfId="16" applyFont="1" applyFill="1" applyBorder="1" applyAlignment="1" applyProtection="1">
      <alignment horizontal="center" vertical="center" wrapText="1"/>
      <protection hidden="1"/>
    </xf>
    <xf numFmtId="0" fontId="37" fillId="18" borderId="3" xfId="16" applyFont="1" applyFill="1" applyBorder="1" applyAlignment="1" applyProtection="1">
      <alignment horizontal="center" vertical="center" wrapText="1"/>
      <protection hidden="1"/>
    </xf>
    <xf numFmtId="0" fontId="37" fillId="18" borderId="4" xfId="16" applyFont="1" applyFill="1" applyBorder="1" applyAlignment="1" applyProtection="1">
      <alignment horizontal="center" vertical="center" wrapText="1"/>
      <protection hidden="1"/>
    </xf>
    <xf numFmtId="0" fontId="37" fillId="18" borderId="0" xfId="16" applyFont="1" applyFill="1" applyAlignment="1" applyProtection="1">
      <alignment horizontal="center" vertical="center" wrapText="1"/>
      <protection hidden="1"/>
    </xf>
    <xf numFmtId="0" fontId="37" fillId="18" borderId="5" xfId="16" applyFont="1" applyFill="1" applyBorder="1" applyAlignment="1" applyProtection="1">
      <alignment horizontal="center" vertical="center" wrapText="1"/>
      <protection hidden="1"/>
    </xf>
    <xf numFmtId="0" fontId="37" fillId="18" borderId="54" xfId="16" applyFont="1" applyFill="1" applyBorder="1" applyAlignment="1" applyProtection="1">
      <alignment horizontal="center" vertical="center" wrapText="1"/>
      <protection hidden="1"/>
    </xf>
    <xf numFmtId="0" fontId="37" fillId="18" borderId="48" xfId="16" applyFont="1" applyFill="1" applyBorder="1" applyAlignment="1" applyProtection="1">
      <alignment horizontal="center" vertical="center" wrapText="1"/>
      <protection hidden="1"/>
    </xf>
    <xf numFmtId="0" fontId="37" fillId="18" borderId="55" xfId="16" applyFont="1" applyFill="1" applyBorder="1" applyAlignment="1" applyProtection="1">
      <alignment horizontal="center" vertical="center" wrapText="1"/>
      <protection hidden="1"/>
    </xf>
    <xf numFmtId="0" fontId="37" fillId="3" borderId="10" xfId="16" applyFont="1" applyFill="1" applyBorder="1" applyAlignment="1" applyProtection="1">
      <alignment horizontal="center" vertical="center" wrapText="1"/>
      <protection hidden="1"/>
    </xf>
    <xf numFmtId="0" fontId="37" fillId="3" borderId="11" xfId="16" applyFont="1" applyFill="1" applyBorder="1" applyAlignment="1" applyProtection="1">
      <alignment horizontal="center" vertical="center" wrapText="1"/>
      <protection hidden="1"/>
    </xf>
    <xf numFmtId="0" fontId="37" fillId="3" borderId="12" xfId="16" applyFont="1" applyFill="1" applyBorder="1" applyAlignment="1" applyProtection="1">
      <alignment horizontal="center" vertical="center" wrapText="1"/>
      <protection hidden="1"/>
    </xf>
    <xf numFmtId="0" fontId="37" fillId="3" borderId="28" xfId="16" applyFont="1" applyFill="1" applyBorder="1" applyAlignment="1" applyProtection="1">
      <alignment horizontal="center" vertical="center" wrapText="1"/>
      <protection hidden="1"/>
    </xf>
    <xf numFmtId="0" fontId="37" fillId="3" borderId="26" xfId="16" applyFont="1" applyFill="1" applyBorder="1" applyAlignment="1" applyProtection="1">
      <alignment horizontal="center" vertical="center" wrapText="1"/>
      <protection hidden="1"/>
    </xf>
    <xf numFmtId="0" fontId="37" fillId="3" borderId="31" xfId="16" applyFont="1" applyFill="1" applyBorder="1" applyAlignment="1" applyProtection="1">
      <alignment horizontal="center" vertical="center" wrapText="1"/>
      <protection hidden="1"/>
    </xf>
    <xf numFmtId="0" fontId="37" fillId="3" borderId="25" xfId="16" applyFont="1" applyFill="1" applyBorder="1" applyAlignment="1" applyProtection="1">
      <alignment horizontal="center" vertical="center" wrapText="1"/>
      <protection hidden="1"/>
    </xf>
    <xf numFmtId="0" fontId="37" fillId="3" borderId="27" xfId="16" applyFont="1" applyFill="1" applyBorder="1" applyAlignment="1" applyProtection="1">
      <alignment horizontal="center" vertical="center" wrapText="1"/>
      <protection hidden="1"/>
    </xf>
    <xf numFmtId="0" fontId="40" fillId="3" borderId="56" xfId="16" applyFont="1" applyFill="1" applyBorder="1" applyAlignment="1" applyProtection="1">
      <alignment horizontal="center" vertical="center"/>
      <protection hidden="1"/>
    </xf>
    <xf numFmtId="0" fontId="40" fillId="3" borderId="35" xfId="16" applyFont="1" applyFill="1" applyBorder="1" applyAlignment="1" applyProtection="1">
      <alignment horizontal="center" vertical="center"/>
      <protection hidden="1"/>
    </xf>
    <xf numFmtId="0" fontId="40" fillId="3" borderId="36" xfId="16" applyFont="1" applyFill="1" applyBorder="1" applyAlignment="1" applyProtection="1">
      <alignment horizontal="center" vertical="center"/>
      <protection hidden="1"/>
    </xf>
    <xf numFmtId="0" fontId="37" fillId="3" borderId="13" xfId="16" applyFont="1" applyFill="1" applyBorder="1" applyAlignment="1" applyProtection="1">
      <alignment horizontal="center" vertical="top" wrapText="1"/>
      <protection hidden="1"/>
    </xf>
    <xf numFmtId="0" fontId="37" fillId="3" borderId="8" xfId="16" applyFont="1" applyFill="1" applyBorder="1" applyAlignment="1" applyProtection="1">
      <alignment horizontal="center" vertical="top" wrapText="1"/>
      <protection hidden="1"/>
    </xf>
    <xf numFmtId="0" fontId="37" fillId="3" borderId="16" xfId="16" applyFont="1" applyFill="1" applyBorder="1" applyAlignment="1" applyProtection="1">
      <alignment horizontal="center" vertical="top" wrapText="1"/>
      <protection hidden="1"/>
    </xf>
    <xf numFmtId="189" fontId="37" fillId="0" borderId="6" xfId="16" applyNumberFormat="1" applyFont="1" applyBorder="1" applyAlignment="1" applyProtection="1">
      <alignment horizontal="left" vertical="top"/>
      <protection hidden="1"/>
    </xf>
    <xf numFmtId="189" fontId="37" fillId="0" borderId="7" xfId="16" applyNumberFormat="1" applyFont="1" applyBorder="1" applyAlignment="1" applyProtection="1">
      <alignment horizontal="left" vertical="top"/>
      <protection hidden="1"/>
    </xf>
    <xf numFmtId="0" fontId="46" fillId="3" borderId="45" xfId="16" applyFont="1" applyFill="1" applyBorder="1" applyAlignment="1" applyProtection="1">
      <alignment horizontal="center" vertical="center" wrapText="1"/>
      <protection hidden="1"/>
    </xf>
    <xf numFmtId="0" fontId="46" fillId="3" borderId="69" xfId="16" applyFont="1" applyFill="1" applyBorder="1" applyAlignment="1" applyProtection="1">
      <alignment horizontal="center" vertical="center" wrapText="1"/>
      <protection hidden="1"/>
    </xf>
    <xf numFmtId="0" fontId="46" fillId="3" borderId="52" xfId="16" applyFont="1" applyFill="1" applyBorder="1" applyAlignment="1" applyProtection="1">
      <alignment horizontal="center" vertical="center" wrapText="1"/>
      <protection hidden="1"/>
    </xf>
    <xf numFmtId="0" fontId="46" fillId="3" borderId="65" xfId="16" applyFont="1" applyFill="1" applyBorder="1" applyAlignment="1" applyProtection="1">
      <alignment horizontal="center" vertical="center" wrapText="1"/>
      <protection hidden="1"/>
    </xf>
    <xf numFmtId="0" fontId="46" fillId="3" borderId="66" xfId="16" applyFont="1" applyFill="1" applyBorder="1" applyAlignment="1" applyProtection="1">
      <alignment horizontal="center" vertical="center" wrapText="1"/>
      <protection hidden="1"/>
    </xf>
    <xf numFmtId="0" fontId="46" fillId="3" borderId="4" xfId="16" applyFont="1" applyFill="1" applyBorder="1" applyAlignment="1" applyProtection="1">
      <alignment horizontal="center" vertical="center" wrapText="1"/>
      <protection hidden="1"/>
    </xf>
    <xf numFmtId="0" fontId="46" fillId="3" borderId="50" xfId="16" applyFont="1" applyFill="1" applyBorder="1" applyAlignment="1" applyProtection="1">
      <alignment horizontal="center" vertical="center" wrapText="1"/>
      <protection hidden="1"/>
    </xf>
    <xf numFmtId="0" fontId="46" fillId="3" borderId="54" xfId="16" applyFont="1" applyFill="1" applyBorder="1" applyAlignment="1" applyProtection="1">
      <alignment horizontal="center" vertical="center" wrapText="1"/>
      <protection hidden="1"/>
    </xf>
    <xf numFmtId="0" fontId="46" fillId="3" borderId="49" xfId="16" applyFont="1" applyFill="1" applyBorder="1" applyAlignment="1" applyProtection="1">
      <alignment horizontal="center" vertical="center" wrapText="1"/>
      <protection hidden="1"/>
    </xf>
    <xf numFmtId="0" fontId="46" fillId="3" borderId="67" xfId="16" applyFont="1" applyFill="1" applyBorder="1" applyAlignment="1" applyProtection="1">
      <alignment horizontal="center" vertical="center" wrapText="1"/>
      <protection hidden="1"/>
    </xf>
    <xf numFmtId="0" fontId="46" fillId="3" borderId="70" xfId="16" applyFont="1" applyFill="1" applyBorder="1" applyAlignment="1" applyProtection="1">
      <alignment horizontal="center" vertical="center" wrapText="1"/>
      <protection hidden="1"/>
    </xf>
    <xf numFmtId="0" fontId="46" fillId="3" borderId="57" xfId="16" applyFont="1" applyFill="1" applyBorder="1" applyAlignment="1" applyProtection="1">
      <alignment horizontal="center" vertical="center" wrapText="1"/>
      <protection hidden="1"/>
    </xf>
    <xf numFmtId="0" fontId="37" fillId="0" borderId="6" xfId="16" applyFont="1" applyBorder="1" applyAlignment="1" applyProtection="1">
      <alignment horizontal="left" vertical="top" wrapText="1"/>
      <protection hidden="1"/>
    </xf>
    <xf numFmtId="0" fontId="37" fillId="0" borderId="7" xfId="16" applyFont="1" applyBorder="1" applyAlignment="1" applyProtection="1">
      <alignment horizontal="left" vertical="top" wrapText="1"/>
      <protection hidden="1"/>
    </xf>
    <xf numFmtId="189" fontId="37" fillId="0" borderId="6" xfId="16" applyNumberFormat="1" applyFont="1" applyBorder="1" applyAlignment="1" applyProtection="1">
      <alignment horizontal="left" vertical="center"/>
      <protection hidden="1"/>
    </xf>
    <xf numFmtId="189" fontId="37" fillId="0" borderId="7" xfId="16" applyNumberFormat="1" applyFont="1" applyBorder="1" applyAlignment="1" applyProtection="1">
      <alignment horizontal="left" vertical="center"/>
      <protection hidden="1"/>
    </xf>
    <xf numFmtId="189" fontId="37" fillId="18" borderId="6" xfId="16" applyNumberFormat="1" applyFont="1" applyFill="1" applyBorder="1" applyAlignment="1" applyProtection="1">
      <alignment horizontal="left" vertical="center"/>
      <protection hidden="1"/>
    </xf>
    <xf numFmtId="189" fontId="37" fillId="18" borderId="7" xfId="16" applyNumberFormat="1" applyFont="1" applyFill="1" applyBorder="1" applyAlignment="1" applyProtection="1">
      <alignment horizontal="left" vertical="center"/>
      <protection hidden="1"/>
    </xf>
    <xf numFmtId="171" fontId="46" fillId="3" borderId="65" xfId="16" applyNumberFormat="1" applyFont="1" applyFill="1" applyBorder="1" applyAlignment="1" applyProtection="1">
      <alignment horizontal="center" vertical="center" wrapText="1"/>
      <protection hidden="1"/>
    </xf>
    <xf numFmtId="171" fontId="46" fillId="3" borderId="4" xfId="16" applyNumberFormat="1" applyFont="1" applyFill="1" applyBorder="1" applyAlignment="1" applyProtection="1">
      <alignment horizontal="center" vertical="center" wrapText="1"/>
      <protection hidden="1"/>
    </xf>
    <xf numFmtId="171" fontId="46" fillId="3" borderId="54" xfId="16" applyNumberFormat="1" applyFont="1" applyFill="1" applyBorder="1" applyAlignment="1" applyProtection="1">
      <alignment horizontal="center" vertical="center" wrapText="1"/>
      <protection hidden="1"/>
    </xf>
    <xf numFmtId="0" fontId="46" fillId="3" borderId="46" xfId="16" applyFont="1" applyFill="1" applyBorder="1" applyAlignment="1" applyProtection="1">
      <alignment horizontal="center" vertical="center" wrapText="1"/>
      <protection hidden="1"/>
    </xf>
    <xf numFmtId="0" fontId="46" fillId="3" borderId="58" xfId="16" applyFont="1" applyFill="1" applyBorder="1" applyAlignment="1" applyProtection="1">
      <alignment horizontal="center" vertical="center" wrapText="1"/>
      <protection hidden="1"/>
    </xf>
    <xf numFmtId="0" fontId="37" fillId="19" borderId="75" xfId="16" applyFont="1" applyFill="1" applyBorder="1" applyAlignment="1" applyProtection="1">
      <alignment horizontal="center" vertical="center" wrapText="1"/>
      <protection hidden="1"/>
    </xf>
    <xf numFmtId="193" fontId="38" fillId="0" borderId="88" xfId="34" applyNumberFormat="1" applyFont="1" applyFill="1" applyBorder="1" applyAlignment="1" applyProtection="1">
      <alignment horizontal="center" vertical="center"/>
      <protection hidden="1"/>
    </xf>
    <xf numFmtId="193" fontId="38" fillId="0" borderId="89" xfId="34" applyNumberFormat="1" applyFont="1" applyFill="1" applyBorder="1" applyAlignment="1" applyProtection="1">
      <alignment horizontal="center" vertical="center"/>
      <protection hidden="1"/>
    </xf>
    <xf numFmtId="193" fontId="38" fillId="0" borderId="90" xfId="34" applyNumberFormat="1" applyFont="1" applyFill="1" applyBorder="1" applyAlignment="1" applyProtection="1">
      <alignment horizontal="center" vertical="center"/>
      <protection hidden="1"/>
    </xf>
    <xf numFmtId="181" fontId="38" fillId="26" borderId="67" xfId="19" applyNumberFormat="1" applyFont="1" applyFill="1" applyBorder="1" applyAlignment="1" applyProtection="1">
      <alignment horizontal="center" vertical="center"/>
      <protection hidden="1"/>
    </xf>
    <xf numFmtId="181" fontId="38" fillId="26" borderId="70" xfId="19" applyNumberFormat="1" applyFont="1" applyFill="1" applyBorder="1" applyAlignment="1" applyProtection="1">
      <alignment horizontal="center" vertical="center"/>
      <protection hidden="1"/>
    </xf>
    <xf numFmtId="181" fontId="38" fillId="26" borderId="72" xfId="19" applyNumberFormat="1" applyFont="1" applyFill="1" applyBorder="1" applyAlignment="1" applyProtection="1">
      <alignment horizontal="center" vertical="center"/>
      <protection hidden="1"/>
    </xf>
    <xf numFmtId="193" fontId="38" fillId="0" borderId="67" xfId="34" applyNumberFormat="1" applyFont="1" applyFill="1" applyBorder="1" applyAlignment="1" applyProtection="1">
      <alignment horizontal="center" vertical="center"/>
      <protection hidden="1"/>
    </xf>
    <xf numFmtId="193" fontId="38" fillId="0" borderId="70" xfId="34" applyNumberFormat="1" applyFont="1" applyFill="1" applyBorder="1" applyAlignment="1" applyProtection="1">
      <alignment horizontal="center" vertical="center"/>
      <protection hidden="1"/>
    </xf>
    <xf numFmtId="193" fontId="38" fillId="0" borderId="72" xfId="34" applyNumberFormat="1" applyFont="1" applyFill="1" applyBorder="1" applyAlignment="1" applyProtection="1">
      <alignment horizontal="center" vertical="center"/>
      <protection hidden="1"/>
    </xf>
    <xf numFmtId="0" fontId="46" fillId="3" borderId="71" xfId="16" applyFont="1" applyFill="1" applyBorder="1" applyAlignment="1" applyProtection="1">
      <alignment horizontal="center" vertical="center" wrapText="1"/>
      <protection hidden="1"/>
    </xf>
    <xf numFmtId="171" fontId="46" fillId="3" borderId="46" xfId="16" applyNumberFormat="1" applyFont="1" applyFill="1" applyBorder="1" applyAlignment="1" applyProtection="1">
      <alignment horizontal="center" vertical="center" wrapText="1"/>
      <protection hidden="1"/>
    </xf>
    <xf numFmtId="171" fontId="46" fillId="3" borderId="71" xfId="16" applyNumberFormat="1" applyFont="1" applyFill="1" applyBorder="1" applyAlignment="1" applyProtection="1">
      <alignment horizontal="center" vertical="center" wrapText="1"/>
      <protection hidden="1"/>
    </xf>
    <xf numFmtId="171" fontId="46" fillId="3" borderId="58" xfId="16" applyNumberFormat="1" applyFont="1" applyFill="1" applyBorder="1" applyAlignment="1" applyProtection="1">
      <alignment horizontal="center" vertical="center" wrapText="1"/>
      <protection hidden="1"/>
    </xf>
    <xf numFmtId="0" fontId="46" fillId="11" borderId="13" xfId="16" applyFont="1" applyFill="1" applyBorder="1" applyAlignment="1" applyProtection="1">
      <alignment horizontal="center" vertical="center" wrapText="1"/>
      <protection hidden="1"/>
    </xf>
    <xf numFmtId="0" fontId="46" fillId="11" borderId="8" xfId="16" applyFont="1" applyFill="1" applyBorder="1" applyAlignment="1" applyProtection="1">
      <alignment horizontal="center" vertical="center" wrapText="1"/>
      <protection hidden="1"/>
    </xf>
    <xf numFmtId="0" fontId="46" fillId="3" borderId="64" xfId="16" applyFont="1" applyFill="1" applyBorder="1" applyAlignment="1" applyProtection="1">
      <alignment horizontal="center" vertical="center" wrapText="1"/>
      <protection hidden="1"/>
    </xf>
    <xf numFmtId="0" fontId="46" fillId="3" borderId="55" xfId="16" applyFont="1" applyFill="1" applyBorder="1" applyAlignment="1" applyProtection="1">
      <alignment horizontal="center" vertical="center" wrapText="1"/>
      <protection hidden="1"/>
    </xf>
    <xf numFmtId="0" fontId="46" fillId="3" borderId="73" xfId="16" applyFont="1" applyFill="1" applyBorder="1" applyAlignment="1" applyProtection="1">
      <alignment horizontal="center" vertical="center" wrapText="1"/>
      <protection hidden="1"/>
    </xf>
    <xf numFmtId="0" fontId="46" fillId="3" borderId="29" xfId="16" applyFont="1" applyFill="1" applyBorder="1" applyAlignment="1" applyProtection="1">
      <alignment horizontal="center" vertical="center" wrapText="1"/>
      <protection hidden="1"/>
    </xf>
    <xf numFmtId="0" fontId="46" fillId="3" borderId="20" xfId="16" applyFont="1" applyFill="1" applyBorder="1" applyAlignment="1" applyProtection="1">
      <alignment horizontal="center" vertical="center" wrapText="1"/>
      <protection hidden="1"/>
    </xf>
    <xf numFmtId="0" fontId="46" fillId="3" borderId="61" xfId="16" applyFont="1" applyFill="1" applyBorder="1" applyAlignment="1" applyProtection="1">
      <alignment horizontal="center" vertical="center" wrapText="1"/>
      <protection hidden="1"/>
    </xf>
    <xf numFmtId="0" fontId="46" fillId="3" borderId="62" xfId="16" applyFont="1" applyFill="1" applyBorder="1" applyAlignment="1" applyProtection="1">
      <alignment horizontal="center" vertical="center" wrapText="1"/>
      <protection hidden="1"/>
    </xf>
    <xf numFmtId="173" fontId="38" fillId="18" borderId="57" xfId="19" applyNumberFormat="1" applyFont="1" applyFill="1" applyBorder="1" applyAlignment="1" applyProtection="1">
      <alignment horizontal="center" vertical="center"/>
      <protection hidden="1"/>
    </xf>
    <xf numFmtId="0" fontId="47" fillId="20" borderId="23" xfId="16" applyFont="1" applyFill="1" applyBorder="1" applyAlignment="1" applyProtection="1">
      <alignment horizontal="center" vertical="center"/>
      <protection hidden="1"/>
    </xf>
    <xf numFmtId="0" fontId="47" fillId="20" borderId="24" xfId="16" applyFont="1" applyFill="1" applyBorder="1" applyAlignment="1" applyProtection="1">
      <alignment horizontal="center" vertical="center"/>
      <protection hidden="1"/>
    </xf>
    <xf numFmtId="44" fontId="38" fillId="0" borderId="46" xfId="21" applyFont="1" applyFill="1" applyBorder="1" applyAlignment="1" applyProtection="1">
      <alignment horizontal="center" vertical="center"/>
      <protection hidden="1"/>
    </xf>
    <xf numFmtId="44" fontId="38" fillId="0" borderId="71" xfId="21" applyFont="1" applyFill="1" applyBorder="1" applyAlignment="1" applyProtection="1">
      <alignment horizontal="center" vertical="center"/>
      <protection hidden="1"/>
    </xf>
    <xf numFmtId="44" fontId="38" fillId="0" borderId="58" xfId="21" applyFont="1" applyFill="1" applyBorder="1" applyAlignment="1" applyProtection="1">
      <alignment horizontal="center" vertical="center"/>
      <protection hidden="1"/>
    </xf>
    <xf numFmtId="0" fontId="45" fillId="21" borderId="20" xfId="16" applyFont="1" applyFill="1" applyBorder="1" applyAlignment="1" applyProtection="1">
      <alignment horizontal="center" vertical="center"/>
      <protection hidden="1"/>
    </xf>
    <xf numFmtId="0" fontId="45" fillId="21" borderId="61" xfId="16" applyFont="1" applyFill="1" applyBorder="1" applyAlignment="1" applyProtection="1">
      <alignment horizontal="center" vertical="center"/>
      <protection hidden="1"/>
    </xf>
    <xf numFmtId="0" fontId="45" fillId="21" borderId="62" xfId="16" applyFont="1" applyFill="1" applyBorder="1" applyAlignment="1" applyProtection="1">
      <alignment horizontal="center" vertical="center"/>
      <protection hidden="1"/>
    </xf>
    <xf numFmtId="0" fontId="38" fillId="19" borderId="56" xfId="16" applyFont="1" applyFill="1" applyBorder="1" applyAlignment="1" applyProtection="1">
      <alignment horizontal="center" vertical="center" textRotation="90" wrapText="1"/>
      <protection hidden="1"/>
    </xf>
    <xf numFmtId="0" fontId="38" fillId="19" borderId="35" xfId="16" applyFont="1" applyFill="1" applyBorder="1" applyAlignment="1" applyProtection="1">
      <alignment horizontal="center" vertical="center" textRotation="90" wrapText="1"/>
      <protection hidden="1"/>
    </xf>
    <xf numFmtId="0" fontId="38" fillId="19" borderId="36" xfId="16" applyFont="1" applyFill="1" applyBorder="1" applyAlignment="1" applyProtection="1">
      <alignment horizontal="center" vertical="center" textRotation="90" wrapText="1"/>
      <protection hidden="1"/>
    </xf>
    <xf numFmtId="0" fontId="46" fillId="3" borderId="20" xfId="16" applyFont="1" applyFill="1" applyBorder="1" applyAlignment="1" applyProtection="1">
      <alignment horizontal="center" vertical="center"/>
      <protection hidden="1"/>
    </xf>
    <xf numFmtId="0" fontId="46" fillId="3" borderId="61" xfId="16" applyFont="1" applyFill="1" applyBorder="1" applyAlignment="1" applyProtection="1">
      <alignment horizontal="center" vertical="center"/>
      <protection hidden="1"/>
    </xf>
    <xf numFmtId="0" fontId="46" fillId="3" borderId="62" xfId="16" applyFont="1" applyFill="1" applyBorder="1" applyAlignment="1" applyProtection="1">
      <alignment horizontal="center" vertical="center"/>
      <protection hidden="1"/>
    </xf>
    <xf numFmtId="0" fontId="45" fillId="21" borderId="61" xfId="16" applyFont="1" applyFill="1" applyBorder="1" applyAlignment="1" applyProtection="1">
      <alignment horizontal="center" vertical="center" wrapText="1"/>
      <protection hidden="1"/>
    </xf>
    <xf numFmtId="0" fontId="45" fillId="21" borderId="62" xfId="16" applyFont="1" applyFill="1" applyBorder="1" applyAlignment="1" applyProtection="1">
      <alignment horizontal="center" vertical="center" wrapText="1"/>
      <protection hidden="1"/>
    </xf>
    <xf numFmtId="172" fontId="38" fillId="18" borderId="68" xfId="19" applyNumberFormat="1" applyFont="1" applyFill="1" applyBorder="1" applyAlignment="1" applyProtection="1">
      <alignment horizontal="center" vertical="center"/>
      <protection hidden="1"/>
    </xf>
    <xf numFmtId="172" fontId="38" fillId="18" borderId="59" xfId="19" applyNumberFormat="1" applyFont="1" applyFill="1" applyBorder="1" applyAlignment="1" applyProtection="1">
      <alignment horizontal="center" vertical="center"/>
      <protection hidden="1"/>
    </xf>
    <xf numFmtId="172" fontId="38" fillId="18" borderId="47" xfId="19" applyNumberFormat="1" applyFont="1" applyFill="1" applyBorder="1" applyAlignment="1" applyProtection="1">
      <alignment horizontal="center" vertical="center"/>
      <protection hidden="1"/>
    </xf>
    <xf numFmtId="172" fontId="38" fillId="18" borderId="65" xfId="19" applyNumberFormat="1" applyFont="1" applyFill="1" applyBorder="1" applyAlignment="1" applyProtection="1">
      <alignment horizontal="center" vertical="center"/>
      <protection hidden="1"/>
    </xf>
    <xf numFmtId="172" fontId="38" fillId="18" borderId="4" xfId="19" applyNumberFormat="1" applyFont="1" applyFill="1" applyBorder="1" applyAlignment="1" applyProtection="1">
      <alignment horizontal="center" vertical="center"/>
      <protection hidden="1"/>
    </xf>
    <xf numFmtId="172" fontId="38" fillId="18" borderId="54" xfId="19" applyNumberFormat="1" applyFont="1" applyFill="1" applyBorder="1" applyAlignment="1" applyProtection="1">
      <alignment horizontal="center" vertical="center"/>
      <protection hidden="1"/>
    </xf>
    <xf numFmtId="169" fontId="38" fillId="0" borderId="67" xfId="3" applyNumberFormat="1" applyFont="1" applyBorder="1" applyAlignment="1" applyProtection="1">
      <alignment horizontal="center" vertical="center"/>
      <protection hidden="1"/>
    </xf>
    <xf numFmtId="169" fontId="38" fillId="0" borderId="70" xfId="3" applyNumberFormat="1" applyFont="1" applyBorder="1" applyAlignment="1" applyProtection="1">
      <alignment horizontal="center" vertical="center"/>
      <protection hidden="1"/>
    </xf>
    <xf numFmtId="169" fontId="38" fillId="0" borderId="57" xfId="3" applyNumberFormat="1" applyFont="1" applyBorder="1" applyAlignment="1" applyProtection="1">
      <alignment horizontal="center" vertical="center"/>
      <protection hidden="1"/>
    </xf>
    <xf numFmtId="173" fontId="38" fillId="0" borderId="67" xfId="19" applyNumberFormat="1" applyFont="1" applyFill="1" applyBorder="1" applyAlignment="1" applyProtection="1">
      <alignment horizontal="center" vertical="center"/>
      <protection hidden="1"/>
    </xf>
    <xf numFmtId="173" fontId="38" fillId="0" borderId="70" xfId="19" applyNumberFormat="1" applyFont="1" applyFill="1" applyBorder="1" applyAlignment="1" applyProtection="1">
      <alignment horizontal="center" vertical="center"/>
      <protection hidden="1"/>
    </xf>
    <xf numFmtId="173" fontId="38" fillId="0" borderId="57" xfId="19" applyNumberFormat="1" applyFont="1" applyFill="1" applyBorder="1" applyAlignment="1" applyProtection="1">
      <alignment horizontal="center" vertical="center"/>
      <protection hidden="1"/>
    </xf>
    <xf numFmtId="170" fontId="44" fillId="0" borderId="68" xfId="19" applyNumberFormat="1" applyFont="1" applyFill="1" applyBorder="1" applyAlignment="1" applyProtection="1">
      <alignment horizontal="center" vertical="center" wrapText="1"/>
      <protection hidden="1"/>
    </xf>
    <xf numFmtId="170" fontId="44" fillId="0" borderId="59" xfId="19" applyNumberFormat="1" applyFont="1" applyFill="1" applyBorder="1" applyAlignment="1" applyProtection="1">
      <alignment horizontal="center" vertical="center" wrapText="1"/>
      <protection hidden="1"/>
    </xf>
    <xf numFmtId="170" fontId="44" fillId="0" borderId="47" xfId="19" applyNumberFormat="1" applyFont="1" applyFill="1" applyBorder="1" applyAlignment="1" applyProtection="1">
      <alignment horizontal="center" vertical="center" wrapText="1"/>
      <protection hidden="1"/>
    </xf>
    <xf numFmtId="173" fontId="38" fillId="0" borderId="72" xfId="19" applyNumberFormat="1" applyFont="1" applyFill="1" applyBorder="1" applyAlignment="1" applyProtection="1">
      <alignment horizontal="center" vertical="center"/>
      <protection hidden="1"/>
    </xf>
    <xf numFmtId="0" fontId="47" fillId="20" borderId="39" xfId="16" applyFont="1" applyFill="1" applyBorder="1" applyAlignment="1" applyProtection="1">
      <alignment horizontal="center" vertical="center"/>
      <protection hidden="1"/>
    </xf>
    <xf numFmtId="0" fontId="47" fillId="20" borderId="51" xfId="16" applyFont="1" applyFill="1" applyBorder="1" applyAlignment="1" applyProtection="1">
      <alignment horizontal="center" vertical="center"/>
      <protection hidden="1"/>
    </xf>
    <xf numFmtId="0" fontId="46" fillId="3" borderId="72" xfId="16" applyFont="1" applyFill="1" applyBorder="1" applyAlignment="1" applyProtection="1">
      <alignment horizontal="center" vertical="center" wrapText="1"/>
      <protection hidden="1"/>
    </xf>
    <xf numFmtId="0" fontId="76" fillId="16" borderId="10" xfId="38" applyFont="1" applyFill="1" applyBorder="1" applyAlignment="1">
      <alignment horizontal="center" vertical="center" wrapText="1"/>
    </xf>
    <xf numFmtId="0" fontId="76" fillId="16" borderId="28" xfId="38" applyFont="1" applyFill="1" applyBorder="1" applyAlignment="1">
      <alignment horizontal="center" vertical="center" wrapText="1"/>
    </xf>
    <xf numFmtId="0" fontId="1" fillId="0" borderId="0" xfId="38"/>
    <xf numFmtId="172" fontId="10" fillId="3" borderId="74" xfId="40" applyNumberFormat="1" applyFont="1" applyFill="1" applyBorder="1"/>
    <xf numFmtId="0" fontId="1" fillId="0" borderId="72" xfId="38" applyBorder="1"/>
    <xf numFmtId="195" fontId="10" fillId="0" borderId="73" xfId="40" applyNumberFormat="1" applyFont="1" applyFill="1" applyBorder="1"/>
    <xf numFmtId="172" fontId="10" fillId="3" borderId="72" xfId="40" applyNumberFormat="1" applyFont="1" applyFill="1" applyBorder="1" applyAlignment="1">
      <alignment horizontal="center"/>
    </xf>
    <xf numFmtId="172" fontId="1" fillId="0" borderId="72" xfId="40" applyNumberFormat="1" applyFont="1" applyFill="1" applyBorder="1"/>
    <xf numFmtId="172" fontId="10" fillId="3" borderId="71" xfId="40" applyNumberFormat="1" applyFont="1" applyFill="1" applyBorder="1" applyAlignment="1">
      <alignment horizontal="center"/>
    </xf>
    <xf numFmtId="172" fontId="10" fillId="3" borderId="71" xfId="40" applyNumberFormat="1" applyFont="1" applyFill="1" applyBorder="1"/>
    <xf numFmtId="0" fontId="1" fillId="0" borderId="70" xfId="38" applyBorder="1"/>
    <xf numFmtId="195" fontId="10" fillId="0" borderId="69" xfId="40" applyNumberFormat="1" applyFont="1" applyFill="1" applyBorder="1" applyAlignment="1">
      <alignment horizontal="center"/>
    </xf>
    <xf numFmtId="172" fontId="10" fillId="3" borderId="70" xfId="40" applyNumberFormat="1" applyFont="1" applyFill="1" applyBorder="1" applyAlignment="1">
      <alignment horizontal="center"/>
    </xf>
    <xf numFmtId="172" fontId="1" fillId="0" borderId="70" xfId="40" applyNumberFormat="1" applyFont="1" applyFill="1" applyBorder="1"/>
    <xf numFmtId="172" fontId="10" fillId="3" borderId="46" xfId="40" applyNumberFormat="1" applyFont="1" applyFill="1" applyBorder="1"/>
    <xf numFmtId="0" fontId="10" fillId="0" borderId="22" xfId="38" applyFont="1" applyBorder="1" applyAlignment="1">
      <alignment horizontal="center" wrapText="1"/>
    </xf>
    <xf numFmtId="0" fontId="10" fillId="0" borderId="22" xfId="38" applyFont="1" applyBorder="1" applyAlignment="1">
      <alignment horizontal="center" vertical="center" wrapText="1"/>
    </xf>
    <xf numFmtId="0" fontId="10" fillId="0" borderId="40" xfId="38" applyFont="1" applyBorder="1" applyAlignment="1">
      <alignment horizontal="center" vertical="center" wrapText="1"/>
    </xf>
    <xf numFmtId="0" fontId="1" fillId="0" borderId="41" xfId="38" applyBorder="1" applyAlignment="1">
      <alignment horizontal="center" vertical="center" wrapText="1"/>
    </xf>
    <xf numFmtId="0" fontId="10" fillId="0" borderId="40" xfId="38" applyFont="1" applyBorder="1" applyAlignment="1">
      <alignment horizontal="center" wrapText="1"/>
    </xf>
    <xf numFmtId="0" fontId="10" fillId="0" borderId="41" xfId="38" applyFont="1" applyBorder="1" applyAlignment="1">
      <alignment horizontal="center" wrapText="1"/>
    </xf>
    <xf numFmtId="0" fontId="10" fillId="0" borderId="0" xfId="38" applyFont="1"/>
    <xf numFmtId="172" fontId="10" fillId="3" borderId="36" xfId="40" applyNumberFormat="1" applyFont="1" applyFill="1" applyBorder="1"/>
    <xf numFmtId="164" fontId="0" fillId="0" borderId="73" xfId="40" applyFont="1" applyBorder="1"/>
    <xf numFmtId="172" fontId="96" fillId="3" borderId="29" xfId="40" applyNumberFormat="1" applyFont="1" applyFill="1" applyBorder="1"/>
    <xf numFmtId="172" fontId="0" fillId="0" borderId="72" xfId="40" applyNumberFormat="1" applyFont="1" applyFill="1" applyBorder="1" applyAlignment="1">
      <alignment horizontal="center"/>
    </xf>
    <xf numFmtId="164" fontId="0" fillId="0" borderId="73" xfId="40" applyFont="1" applyFill="1" applyBorder="1" applyAlignment="1">
      <alignment horizontal="center"/>
    </xf>
    <xf numFmtId="172" fontId="10" fillId="3" borderId="35" xfId="40" applyNumberFormat="1" applyFont="1" applyFill="1" applyBorder="1"/>
    <xf numFmtId="195" fontId="1" fillId="0" borderId="69" xfId="38" applyNumberFormat="1" applyBorder="1"/>
    <xf numFmtId="172" fontId="10" fillId="3" borderId="4" xfId="40" applyNumberFormat="1" applyFont="1" applyFill="1" applyBorder="1"/>
    <xf numFmtId="195" fontId="1" fillId="0" borderId="69" xfId="40" applyNumberFormat="1" applyFont="1" applyFill="1" applyBorder="1"/>
    <xf numFmtId="0" fontId="1" fillId="0" borderId="9" xfId="38" applyBorder="1" applyAlignment="1">
      <alignment horizontal="center" wrapText="1"/>
    </xf>
    <xf numFmtId="0" fontId="1" fillId="0" borderId="22" xfId="38" applyBorder="1" applyAlignment="1">
      <alignment wrapText="1"/>
    </xf>
    <xf numFmtId="0" fontId="1" fillId="0" borderId="40" xfId="38" applyBorder="1" applyAlignment="1">
      <alignment horizontal="center" wrapText="1"/>
    </xf>
    <xf numFmtId="0" fontId="1" fillId="0" borderId="41" xfId="38" applyBorder="1" applyAlignment="1">
      <alignment horizontal="center" wrapText="1"/>
    </xf>
    <xf numFmtId="0" fontId="1" fillId="0" borderId="60" xfId="38" applyBorder="1" applyAlignment="1">
      <alignment horizontal="center" wrapText="1"/>
    </xf>
    <xf numFmtId="164" fontId="10" fillId="3" borderId="35" xfId="40" applyNumberFormat="1" applyFont="1" applyFill="1" applyBorder="1"/>
    <xf numFmtId="164" fontId="10" fillId="3" borderId="36" xfId="40" applyNumberFormat="1" applyFont="1" applyFill="1" applyBorder="1"/>
  </cellXfs>
  <cellStyles count="41">
    <cellStyle name="Currency 2" xfId="15" xr:uid="{D8DB6D80-CAAF-4FFB-AB7C-DC2C90788945}"/>
    <cellStyle name="EUR" xfId="4" xr:uid="{00000000-0005-0000-0000-000000000000}"/>
    <cellStyle name="EUR 2" xfId="37" xr:uid="{086259C2-3729-4CEE-830B-4AB91E60FA8B}"/>
    <cellStyle name="EUR/m3" xfId="14" xr:uid="{00000000-0005-0000-0000-000001000000}"/>
    <cellStyle name="EUR/MWh" xfId="9" xr:uid="{00000000-0005-0000-0000-000002000000}"/>
    <cellStyle name="Faktor" xfId="20" xr:uid="{CA20F3D1-7B70-48D8-8B29-E3A0F8C8D1A7}"/>
    <cellStyle name="Hiperpovezava" xfId="13" builtinId="8"/>
    <cellStyle name="kWh" xfId="8" xr:uid="{00000000-0005-0000-0000-000004000000}"/>
    <cellStyle name="kWh 2" xfId="18" xr:uid="{17197C41-33D9-476D-A8A6-B50DDBE73DC7}"/>
    <cellStyle name="Naslov" xfId="2" builtinId="15" customBuiltin="1"/>
    <cellStyle name="Naslov m" xfId="10" xr:uid="{00000000-0005-0000-0000-000006000000}"/>
    <cellStyle name="Naslov v" xfId="11" xr:uid="{00000000-0005-0000-0000-000007000000}"/>
    <cellStyle name="Navadno" xfId="0" builtinId="0"/>
    <cellStyle name="Navadno 2" xfId="35" xr:uid="{23C19F7B-4658-4A4E-9F09-7ACFFD92B302}"/>
    <cellStyle name="Navadno 2 2" xfId="12" xr:uid="{00000000-0005-0000-0000-000009000000}"/>
    <cellStyle name="Navadno 2 2 2" xfId="25" xr:uid="{33DC8D0D-BFB7-4580-82FE-8D911C60411C}"/>
    <cellStyle name="Navadno 2 2 2 2" xfId="30" xr:uid="{85EC5F8E-A747-4821-B998-0FFB8E172B55}"/>
    <cellStyle name="Navadno 2 2 2 3" xfId="16" xr:uid="{C47A3FAC-D5D7-4386-BD58-AB4604C13CB6}"/>
    <cellStyle name="Navadno 2 2 2 3 2" xfId="26" xr:uid="{CB1E95FC-D387-45FD-B914-EC198818243C}"/>
    <cellStyle name="Navadno 2 2 2 3 2 2" xfId="38" xr:uid="{6FF44924-8CA6-4882-B531-9C0DC260533F}"/>
    <cellStyle name="Navadno 2 2 2 3 3" xfId="31" xr:uid="{3E5559B4-3C33-4E03-BEF8-9AC4F481B0CB}"/>
    <cellStyle name="Navadno 2 2 2 4" xfId="28" xr:uid="{4D9961A4-7171-4CC2-A73F-4159FBC48D24}"/>
    <cellStyle name="Navadno 2 2 2 4 2" xfId="33" xr:uid="{AB9E4152-0C73-49BE-AD49-371B9CBBCC0B}"/>
    <cellStyle name="Navadno 2 5" xfId="17" xr:uid="{8554C016-A5C7-4657-9445-29A86B2C1035}"/>
    <cellStyle name="Normal 2" xfId="3" xr:uid="{00000000-0005-0000-0000-00000A000000}"/>
    <cellStyle name="Normal 3" xfId="39" xr:uid="{C98FC31D-E964-41DA-9D82-A9FCCD168AA0}"/>
    <cellStyle name="Odstotek" xfId="1" builtinId="5"/>
    <cellStyle name="Odstotek 3" xfId="5" xr:uid="{00000000-0005-0000-0000-00000C000000}"/>
    <cellStyle name="Percent 2" xfId="7" xr:uid="{00000000-0005-0000-0000-00000D000000}"/>
    <cellStyle name="Valuta" xfId="36" builtinId="4"/>
    <cellStyle name="Valuta 2" xfId="6" xr:uid="{00000000-0005-0000-0000-00000E000000}"/>
    <cellStyle name="Valuta 2 2" xfId="27" xr:uid="{88C1C450-7B4D-4CAB-84F4-E54CB7759CF3}"/>
    <cellStyle name="Valuta 2 2 2" xfId="32" xr:uid="{2CDE5D32-4115-424A-9B6E-D58BC9720905}"/>
    <cellStyle name="Valuta 2 2 2 3" xfId="22" xr:uid="{4D202215-51BC-40EA-8AF0-4DBBF3DA325C}"/>
    <cellStyle name="Valuta 2 2 4" xfId="21" xr:uid="{3AEB6EB7-07D0-450B-8B8A-1BA78FF8293A}"/>
    <cellStyle name="Valuta 2 5" xfId="29" xr:uid="{93B104A8-2852-4D28-AD04-EC260EB3345E}"/>
    <cellStyle name="Valuta 4 3" xfId="24" xr:uid="{6CDE9F36-985D-4CE4-A41B-10734A966E8F}"/>
    <cellStyle name="Vejica" xfId="34" builtinId="3"/>
    <cellStyle name="Vejica 2" xfId="23" xr:uid="{423481F5-E761-441E-B6AE-0F03AB6C122A}"/>
    <cellStyle name="Vejica 2 5" xfId="19" xr:uid="{12454C54-E4AF-479F-9CA8-0744303378E8}"/>
    <cellStyle name="Vejica 3" xfId="40" xr:uid="{9696AE99-4FC9-441F-8142-31C748026F83}"/>
  </cellStyles>
  <dxfs count="128">
    <dxf>
      <font>
        <color rgb="FF9C0006"/>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theme="0" tint="-0.14996795556505021"/>
        </patternFill>
      </fill>
    </dxf>
    <dxf>
      <font>
        <color rgb="FF9C0006"/>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theme="0" tint="-0.14996795556505021"/>
        </patternFill>
      </fill>
    </dxf>
    <dxf>
      <font>
        <color rgb="FF9C0006"/>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theme="0" tint="-0.14996795556505021"/>
        </patternFill>
      </fill>
    </dxf>
    <dxf>
      <font>
        <color rgb="FF9C0006"/>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theme="0" tint="-0.14996795556505021"/>
        </patternFill>
      </fill>
    </dxf>
    <dxf>
      <font>
        <color rgb="FF9C0006"/>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s>
  <tableStyles count="0" defaultTableStyle="TableStyleMedium2" defaultPivotStyle="PivotStyleLight16"/>
  <colors>
    <mruColors>
      <color rgb="FFFFFF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externalLink" Target="externalLinks/externalLink17.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externalLink" Target="externalLinks/externalLink20.xml"/><Relationship Id="rId47" Type="http://schemas.openxmlformats.org/officeDocument/2006/relationships/externalLink" Target="externalLinks/externalLink25.xml"/><Relationship Id="rId50" Type="http://schemas.openxmlformats.org/officeDocument/2006/relationships/externalLink" Target="externalLinks/externalLink28.xml"/><Relationship Id="rId55" Type="http://schemas.openxmlformats.org/officeDocument/2006/relationships/externalLink" Target="externalLinks/externalLink33.xml"/><Relationship Id="rId63" Type="http://schemas.openxmlformats.org/officeDocument/2006/relationships/styles" Target="styles.xml"/><Relationship Id="rId68"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externalLink" Target="externalLinks/externalLink15.xml"/><Relationship Id="rId40" Type="http://schemas.openxmlformats.org/officeDocument/2006/relationships/externalLink" Target="externalLinks/externalLink18.xml"/><Relationship Id="rId45" Type="http://schemas.openxmlformats.org/officeDocument/2006/relationships/externalLink" Target="externalLinks/externalLink23.xml"/><Relationship Id="rId53" Type="http://schemas.openxmlformats.org/officeDocument/2006/relationships/externalLink" Target="externalLinks/externalLink31.xml"/><Relationship Id="rId58" Type="http://schemas.openxmlformats.org/officeDocument/2006/relationships/externalLink" Target="externalLinks/externalLink36.xml"/><Relationship Id="rId66"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49" Type="http://schemas.openxmlformats.org/officeDocument/2006/relationships/externalLink" Target="externalLinks/externalLink27.xml"/><Relationship Id="rId57" Type="http://schemas.openxmlformats.org/officeDocument/2006/relationships/externalLink" Target="externalLinks/externalLink35.xml"/><Relationship Id="rId61" Type="http://schemas.openxmlformats.org/officeDocument/2006/relationships/externalLink" Target="externalLinks/externalLink3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4" Type="http://schemas.openxmlformats.org/officeDocument/2006/relationships/externalLink" Target="externalLinks/externalLink22.xml"/><Relationship Id="rId52" Type="http://schemas.openxmlformats.org/officeDocument/2006/relationships/externalLink" Target="externalLinks/externalLink30.xml"/><Relationship Id="rId60" Type="http://schemas.openxmlformats.org/officeDocument/2006/relationships/externalLink" Target="externalLinks/externalLink38.xml"/><Relationship Id="rId65"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43" Type="http://schemas.openxmlformats.org/officeDocument/2006/relationships/externalLink" Target="externalLinks/externalLink21.xml"/><Relationship Id="rId48" Type="http://schemas.openxmlformats.org/officeDocument/2006/relationships/externalLink" Target="externalLinks/externalLink26.xml"/><Relationship Id="rId56" Type="http://schemas.openxmlformats.org/officeDocument/2006/relationships/externalLink" Target="externalLinks/externalLink34.xml"/><Relationship Id="rId64" Type="http://schemas.openxmlformats.org/officeDocument/2006/relationships/sharedStrings" Target="sharedStrings.xml"/><Relationship Id="rId69"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externalLink" Target="externalLinks/externalLink2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externalLink" Target="externalLinks/externalLink16.xml"/><Relationship Id="rId46" Type="http://schemas.openxmlformats.org/officeDocument/2006/relationships/externalLink" Target="externalLinks/externalLink24.xml"/><Relationship Id="rId59" Type="http://schemas.openxmlformats.org/officeDocument/2006/relationships/externalLink" Target="externalLinks/externalLink37.xml"/><Relationship Id="rId67"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externalLink" Target="externalLinks/externalLink19.xml"/><Relationship Id="rId54" Type="http://schemas.openxmlformats.org/officeDocument/2006/relationships/externalLink" Target="externalLinks/externalLink32.xml"/><Relationship Id="rId6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Uporabnik\Local%20Settings\Temporary%20Internet%20Files\OLK1\DHS%20ponuda-Tender%2026%20postaja%20%2018%2005%2009%2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Projekti\Razsvetljava%20javna\-%20BIH\Bijeljina\Delovna\Kalkulacija%20JR%20Bijeljina%20-GRAD%20ni&#382;je%20mo&#269;i%20-OKOLNA%20ni&#382;je%20mo&#269;i%20preme&#353;&#269;ene.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Projekti\Razpisi-ponudbe\JR%20Polj&#269;ane\Kalkulacija%20Polj&#269;ane%20(2015_kon&#269;ni)%2021.04.2016%20-dodatn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My%20Documents\contracting\TVT\logatec-kalk03mar.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My%20Documents\contracting\TVT\logatec-kalk03ma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Projekti\Razpisi-ponudbe\JR%20Izola\Ocena%20potenciala\Kalkulacija%20JR%20Izola%20(podatki%20GOLEA_15092015)%20-2%20-%20predelaj%20ekonomiko.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O:\DATA\Projekti\2005\DOLB_Raka\Izra&#269;uni\Raka_1.%20faza.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Projekti\Razpisi-ponudbe\2014-29-JR%20Ob&#269;ina%20Ho&#269;e%20Slivnica\Tehni&#269;na-delovna%20mapa\Tehni&#269;na%20dokumentacija\Philips\Kalkulacija%20JR%20Ho&#269;e%20Philips%20-3.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Projekti\Razsvetljava%20javna\Ho&#269;e\Oktober2013\Kalkulacija%20JR%20Ho&#269;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92.168.2.12\plan\a-delo\eltec\2008\Razvojni_projekti\Tehnoloska_oprema\04-Poslovni%20nacrt%20(financni%20de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Projekti\Razpisi-ponudbe\JR%20Piran\Kalkulacija%20Elektro%20Pira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Documents%20and%20Settings\Uporabnik\Local%20Settings\Temporary%20Internet%20Files\OLK1\DHS%20ponuda-Tender%2026%20postaja%20%2018%2005%2009%20.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Projekti\Razpisi-ponudbe\2017-29-EUO%20MO%20Kranj\Kalkulacija%20Konk.%20dialog\Priloga%201_ZA%20KV.%20PONUDBO_KON&#268;NA.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Projekti\Razpisi-ponudbe\JR%20Ribnica\DIIP\Ribnica%20Zamenjava%20jr%20HQI-LED%20RVC%20UJR%20-1.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S:\Projektna-pisarna\KOSOVNICE\SPC\Red%20Group\Sales\Dept\Sales%20support\PKL%202004&#247;2008\PKL%202008\KRS%20PK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Projekti\Razsvetljava%20javna\Ho&#269;e\IZVEDBA\Kalkulacija%20JR%20Ho&#269;e_razpis%20-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O:\Projekti\Razsvetljava%20javna\Maribor\Delovna\Kalkulacija%20JR_MOM_2013%20-6.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izra&#269;un%20prilagoditev%20na%20prezra&#269;evanju%20in%20razsvetljavi.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10.15.207.57\Skupni\Documents%20and%20Settings\Uporabnik\Local%20Settings\Temporary%20Internet%20Files\OLK1\DHS%20ponuda-Tender%2026%20postaja%20%2018%2005%2009%2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Bratje\d\0_PROJEKT-PREDLOGE\01_DELAVNICA\C_POPIS\30_OGREVANJE\OMAHEN\OGREPRO1.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ggedoo.sharepoint.com/Users/miha.babnik/Resalta%20d.o.o/Public%20-%20Public/01_Development_SLO/EOL3/02%20-%20Feasibility%20&amp;%20CBA/01%20Analiza%20JZP/OB19%20-%20Dvorana%20Je&#382;ica/Izra&#269;uni/EOL3_S6-OB19_&#352;C%20Je&#382;ica_ver1.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10.15.207.57\Skupni\Documents%20and%20Settings\Blaza\My%20Documents\contracting\TVT\logatec-kalk03ma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Documents%20and%20Settings\Uporabnik\Local%20Settings\Temporary%20Internet%20Files\OLK1\DHS%20ponuda-Tender%2026%20postaja%20%2018%2005%2009%20.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ggedoo.sharepoint.com/Users/miha.babnik/Resalta%20d.o.o/Public%20-%20Public/01_Development_SLO/T&#352;C%20Maribor/02%20-%20Feasibility%20&amp;%20CBA/01%20Analiza%20JZP/T&#352;C_NoP_Razsvetljava_1.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10.15.207.57\Skupni\Projekti\EUO\Jesenice\O&#352;%20Pre&#382;ihov%20Voranc,%20O&#352;%20Tone%20&#268;ufar,%20O&#352;%20Koro&#353;ka%20Bela\Preliminarno\O&#352;%20Pre&#382;ihov%20Voranc%20-Telovadnica.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10.15.207.57\Skupni\_RAZVOJ_PROJEKTOV\2019\19_005_EUO%20MOL%20EOL%203\08_Kalkulacije\0_Promotorska%20vloga\SEZNAM_EUO_V2.6_EOL3_rev00.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0.15.207.57\Skupni\Projekti\Razsvetljava%20javna\&#268;rnomelj\Delovna\Kalkulacija%20JR%20&#268;rnomelj.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10.15.207.57\Skupni\Projekti\Razpisi-ponudbe\2016-29%20EUO%20MOL%20EOL%202%20Promotorska%20vloga\Kalkulacija\MOL%20EOL2%20-%20Seznam%20objektov%20in%20porabe.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PlinOgr.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ggedoo.sharepoint.com/Users/martin.paldauf/Desktop/Prezra&#269;evanje%20UKC.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0.15.207.57\Skupni\Projektna-pisarna\KOSOVNICE\SPC\Red%20Group\Sales\Dept\Sales%20support\PKL%202004&#247;2008\PKL%202008\KRS%20PKL.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ttps://ggedoo.sharepoint.com/development/Development/Public/01_SLO/EOL3/02%20-%20Feasibility%20&amp;%20CBA/01%20Analiza%20JZP/OB35%20-%20OS%20Prule/Izra&#269;uni/EOL3_S6_OB35_O&#352;%20Prule_ver6.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s://ggedoo.sharepoint.com/Users/miha.babnik/Resalta%20d.o.o/Public%20-%20Public/01_Development_SLO/EOL3/02%20-%20Feasibility%20&amp;%20CBA/00%20Referencni%20podatki/PODATKI%20HEP%20-%20DOBAVA%20ELEKTRI&#268;NE%20ENERGIJE/O&#352;%20FU&#381;IN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MES\Documents%20and%20Settings\Uporabnik\Local%20Settings\Temporary%20Internet%20Files\OLK1\DHS%20ponuda-Tender%2026%20postaja%20%2018%2005%2009%20.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Kogeneracija_Cerkno_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Users\Blaza\AppData\Local\Microsoft\Windows\Temporary%20Internet%20Files\Content.Outlook\N0QFNMTH\Sl_bistrica-2008-12-2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Blaza\My%20Documents\contracting\TVT\logatec-kalk03mar.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Documents%20and%20Settings\Blaza\My%20Documents\contracting\TVT\logatec-kalk03mar.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Q:\2007\pregled\projekti%2002%2007\contracting\TVT\logatec-kalk03m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Rates"/>
      <sheetName val="Kurs walut"/>
      <sheetName val="OFFER"/>
      <sheetName val="Pipe"/>
      <sheetName val="zbiorczy (new)"/>
      <sheetName val="Prezračevanje"/>
      <sheetName val="Kurs_walut"/>
      <sheetName val="zbiorczy_(new)"/>
      <sheetName val="Baseline"/>
      <sheetName val="Ekonomika EpC"/>
      <sheetName val="Gradnja"/>
    </sheetNames>
    <sheetDataSet>
      <sheetData sheetId="0" refreshError="1"/>
      <sheetData sheetId="1" refreshError="1"/>
      <sheetData sheetId="2" refreshError="1"/>
      <sheetData sheetId="3"/>
      <sheetData sheetId="4" refreshError="1"/>
      <sheetData sheetId="5" refreshError="1"/>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I I TUMAČENJE "/>
      <sheetName val="POSTOJEĆE STANJE"/>
      <sheetName val="SVJETILJKE REKAPITULACIJA"/>
      <sheetName val="NAKON ZAMJENE"/>
      <sheetName val="VARIJANTA 4 GRAD"/>
      <sheetName val="VARIJANTA 4 OKOLNA"/>
      <sheetName val="REKAPITULACIJA VARIJANTA 4"/>
      <sheetName val="UŠTEDA SNAGA 4"/>
      <sheetName val="REALNA POTROŠNJA"/>
      <sheetName val="Tip_svetilke"/>
      <sheetName val="SVJETILJKE GRAD"/>
      <sheetName val="Kalkulacija GRAD"/>
      <sheetName val="svjetiljke okolna"/>
      <sheetName val="Kalkulacija okolna"/>
      <sheetName val="REKAPITULACIJA"/>
      <sheetName val="Vzdrževanje"/>
      <sheetName val="Povpraševanje"/>
      <sheetName val="INPUTI_I_TUMAČENJE_"/>
      <sheetName val="POSTOJEĆE_STANJE"/>
      <sheetName val="SVJETILJKE_REKAPITULACIJA"/>
      <sheetName val="NAKON_ZAMJENE"/>
      <sheetName val="VARIJANTA_4_GRAD"/>
      <sheetName val="VARIJANTA_4_OKOLNA"/>
      <sheetName val="REKAPITULACIJA_VARIJANTA_4"/>
      <sheetName val="UŠTEDA_SNAGA_4"/>
      <sheetName val="REALNA_POTROŠNJA"/>
      <sheetName val="SVJETILJKE_GRAD"/>
      <sheetName val="Kalkulacija_GRAD"/>
      <sheetName val="svjetiljke_okolna"/>
      <sheetName val="Kalkulacija_okol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C2">
            <v>0.08</v>
          </cell>
        </row>
        <row r="40">
          <cell r="C40">
            <v>4000</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E"/>
      <sheetName val="Seznam obstoječih svetilk"/>
      <sheetName val="Skupaj Poljčane"/>
      <sheetName val="Poljčane - neustrezne menjava"/>
      <sheetName val="Popis menjanih svetilk"/>
      <sheetName val="Brežnica"/>
      <sheetName val="Ljubično"/>
      <sheetName val="Lovnik"/>
      <sheetName val="Lušečka vas"/>
      <sheetName val="Poljčane - gasilski dom"/>
      <sheetName val="TP Brežnica 2"/>
      <sheetName val="Cesta na Boč"/>
      <sheetName val="Čadramska vas"/>
      <sheetName val="OŠ Poljčane"/>
      <sheetName val="TP Hrastovec"/>
      <sheetName val="TP Krasna"/>
      <sheetName val="TP Modraže"/>
      <sheetName val="TP Podboč"/>
      <sheetName val="TP Čretnik"/>
      <sheetName val="Maharska vas"/>
      <sheetName val="Pekel"/>
      <sheetName val="Bistriška 42"/>
      <sheetName val="Sp. Poljčane"/>
      <sheetName val="Stanovksa 2"/>
      <sheetName val="Zg. Poljčane"/>
      <sheetName val="Zg. Poljčane 3"/>
      <sheetName val="Sp. Poljčane 2"/>
      <sheetName val="Stanovsko 20-21"/>
      <sheetName val="Stanovkso 68"/>
      <sheetName val="Studenice 2"/>
      <sheetName val="Studenice 3"/>
      <sheetName val="Čretnik"/>
      <sheetName val="Nova ulica"/>
      <sheetName val="Črpališče"/>
      <sheetName val="Priloga 1-Last.fin. "/>
      <sheetName val="Priloga 2-Javno-zasebno part."/>
      <sheetName val="EKONOMIKA JR Poljčane dod"/>
      <sheetName val="TABELE"/>
      <sheetName val="Gradnja "/>
      <sheetName val="Kalkulacija"/>
      <sheetName val="Tip_svetilke"/>
      <sheetName val="Popis"/>
      <sheetName val="EK"/>
      <sheetName val="VzpostavitevEK"/>
      <sheetName val="LetniStrosekEK"/>
      <sheetName val="CenikEK"/>
      <sheetName val="Obstoječe stanje energija"/>
      <sheetName val="Vzdrževanje"/>
      <sheetName val="Seznam_obstoječih_svetilk"/>
      <sheetName val="Skupaj_Poljčane"/>
      <sheetName val="Poljčane_-_neustrezne_menjava"/>
      <sheetName val="Popis_menjanih_svetilk"/>
      <sheetName val="Lušečka_vas"/>
      <sheetName val="Poljčane_-_gasilski_dom"/>
      <sheetName val="TP_Brežnica_2"/>
      <sheetName val="Cesta_na_Boč"/>
      <sheetName val="Čadramska_vas"/>
      <sheetName val="OŠ_Poljčane"/>
      <sheetName val="TP_Hrastovec"/>
      <sheetName val="TP_Krasna"/>
      <sheetName val="TP_Modraže"/>
      <sheetName val="TP_Podboč"/>
      <sheetName val="TP_Čretnik"/>
      <sheetName val="Maharska_vas"/>
      <sheetName val="Bistriška_42"/>
      <sheetName val="Sp__Poljčane"/>
      <sheetName val="Stanovksa_2"/>
      <sheetName val="Zg__Poljčane"/>
      <sheetName val="Zg__Poljčane_3"/>
      <sheetName val="Sp__Poljčane_2"/>
      <sheetName val="Stanovsko_20-21"/>
      <sheetName val="Stanovkso_68"/>
      <sheetName val="Studenice_2"/>
      <sheetName val="Studenice_3"/>
      <sheetName val="Nova_ulica"/>
      <sheetName val="Priloga_1-Last_fin__"/>
      <sheetName val="Priloga_2-Javno-zasebno_part_"/>
      <sheetName val="EKONOMIKA_JR_Poljčane_dod"/>
      <sheetName val="Gradnja_"/>
      <sheetName val="Obstoječe_stanje_energija"/>
    </sheetNames>
    <sheetDataSet>
      <sheetData sheetId="0">
        <row r="2">
          <cell r="B2">
            <v>0.126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G"/>
      <sheetName val="Muog"/>
      <sheetName val="Tilgung"/>
      <sheetName val="Tilgung Ferngas"/>
      <sheetName val="DCF"/>
      <sheetName val="s"/>
      <sheetName val="  ©"/>
      <sheetName val="Übersicht"/>
      <sheetName val="Anlagen"/>
      <sheetName val="Zahlungsströme"/>
      <sheetName val="Kennzahlen"/>
      <sheetName val="D-IRR"/>
      <sheetName val="D-CF"/>
      <sheetName val="D-E"/>
      <sheetName val="D-A"/>
      <sheetName val="D-A1"/>
      <sheetName val="D-A2"/>
      <sheetName val="Ablage"/>
      <sheetName val="D-IRR2"/>
      <sheetName val="D-CF2"/>
      <sheetName val="D-A1%"/>
      <sheetName val="D-A2%"/>
      <sheetName val="Tilgung_Ferngas"/>
      <sheetName val="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G"/>
      <sheetName val="Muog"/>
      <sheetName val="Tilgung"/>
      <sheetName val="Tilgung Ferngas"/>
      <sheetName val="DCF"/>
      <sheetName val="s"/>
      <sheetName val="  ©"/>
      <sheetName val="Übersicht"/>
      <sheetName val="Anlagen"/>
      <sheetName val="Zahlungsströme"/>
      <sheetName val="Kennzahlen"/>
      <sheetName val="D-IRR"/>
      <sheetName val="D-CF"/>
      <sheetName val="D-E"/>
      <sheetName val="D-A"/>
      <sheetName val="D-A1"/>
      <sheetName val="D-A2"/>
      <sheetName val="Ablage"/>
      <sheetName val="D-IRR2"/>
      <sheetName val="D-CF2"/>
      <sheetName val="D-A1%"/>
      <sheetName val="D-A2%"/>
      <sheetName val="Tilgung_Ferngas"/>
      <sheetName val="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_svetilkeSTARO"/>
      <sheetName val="PopisSTARO"/>
      <sheetName val="V1 - Občina"/>
      <sheetName val="V 2 - Koncesija"/>
      <sheetName val="Priloga 1-Last.fin. JR Izola"/>
      <sheetName val="Priloga 2-Javno-zasebno part."/>
      <sheetName val="EKONOMIKA JR Izola"/>
      <sheetName val="POTENCIAL JR Izola - po FT"/>
      <sheetName val="Napoved"/>
      <sheetName val="Finančni tokovi"/>
      <sheetName val="Zbirna tabela"/>
      <sheetName val="Gradnja"/>
      <sheetName val="Kalkulacija"/>
      <sheetName val="PopisGOLEA"/>
      <sheetName val="Tip_svetilke"/>
      <sheetName val="Philips"/>
      <sheetName val="Prizigalisca"/>
      <sheetName val="ObnovaPrizigalisca"/>
      <sheetName val="Vzdrževanje"/>
      <sheetName val="Rekapitulacija Energ.Knjig."/>
      <sheetName val="CenikEK"/>
      <sheetName val="VzpostavitevEK"/>
      <sheetName val="LetniStroškiEK"/>
      <sheetName val="Kalkulacija JR Izola (podatki G"/>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ow r="1">
          <cell r="W1">
            <v>1.1000000000000001</v>
          </cell>
          <cell r="X1">
            <v>4000</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ABA ENERGENTOV"/>
      <sheetName val="ZAINTERESIRANOST"/>
      <sheetName val="Emisije"/>
      <sheetName val="NAPOTKI"/>
      <sheetName val="tehn_povzetek"/>
      <sheetName val="ekon_povzetek"/>
      <sheetName val="Biomasa"/>
      <sheetName val="Toplotna krivulja"/>
      <sheetName val="Vloga"/>
      <sheetName val="Kazalci"/>
      <sheetName val="Invest"/>
      <sheetName val="Obrat_stroški"/>
      <sheetName val="Tarifni pravilnik"/>
      <sheetName val="Ekonomski izračun"/>
      <sheetName val="Analiza občutlj"/>
      <sheetName val="Graf"/>
      <sheetName val="Ostali_Ekon_Kazalci"/>
    </sheetNames>
    <sheetDataSet>
      <sheetData sheetId="0"/>
      <sheetData sheetId="1"/>
      <sheetData sheetId="2"/>
      <sheetData sheetId="3"/>
      <sheetData sheetId="4"/>
      <sheetData sheetId="5">
        <row r="11">
          <cell r="D11">
            <v>1</v>
          </cell>
        </row>
        <row r="12">
          <cell r="D12">
            <v>1</v>
          </cell>
        </row>
        <row r="13">
          <cell r="D13">
            <v>1</v>
          </cell>
        </row>
        <row r="14">
          <cell r="D14">
            <v>575.97063552000066</v>
          </cell>
        </row>
        <row r="15">
          <cell r="D15">
            <v>706.44207552000069</v>
          </cell>
        </row>
        <row r="16">
          <cell r="D16">
            <v>831.10832414117726</v>
          </cell>
        </row>
        <row r="18">
          <cell r="D18">
            <v>1</v>
          </cell>
        </row>
        <row r="19">
          <cell r="D19">
            <v>1</v>
          </cell>
        </row>
        <row r="20">
          <cell r="D20">
            <v>1</v>
          </cell>
        </row>
        <row r="27">
          <cell r="D27">
            <v>2882.3638645204032</v>
          </cell>
        </row>
        <row r="28">
          <cell r="D28">
            <v>90</v>
          </cell>
        </row>
        <row r="29">
          <cell r="D29">
            <v>400</v>
          </cell>
        </row>
        <row r="30">
          <cell r="D30">
            <v>25</v>
          </cell>
        </row>
        <row r="31">
          <cell r="D31">
            <v>20</v>
          </cell>
        </row>
        <row r="32">
          <cell r="D32">
            <v>4.3050350214515337E-3</v>
          </cell>
        </row>
        <row r="33">
          <cell r="D33">
            <v>10.935913561762264</v>
          </cell>
        </row>
        <row r="34">
          <cell r="D34" t="str">
            <v>-</v>
          </cell>
        </row>
        <row r="35">
          <cell r="D35">
            <v>35000000</v>
          </cell>
        </row>
        <row r="36">
          <cell r="D36">
            <v>659206.24018256285</v>
          </cell>
        </row>
        <row r="37">
          <cell r="D37">
            <v>0</v>
          </cell>
        </row>
        <row r="39">
          <cell r="D39">
            <v>-2890400</v>
          </cell>
        </row>
        <row r="40">
          <cell r="D40">
            <v>1.0999999999999999E-2</v>
          </cell>
        </row>
        <row r="42">
          <cell r="D42">
            <v>15</v>
          </cell>
        </row>
        <row r="43">
          <cell r="D43">
            <v>38596</v>
          </cell>
        </row>
        <row r="44">
          <cell r="D44">
            <v>8027400</v>
          </cell>
        </row>
        <row r="50">
          <cell r="E50">
            <v>10000000</v>
          </cell>
        </row>
        <row r="51">
          <cell r="E51">
            <v>0</v>
          </cell>
        </row>
        <row r="52">
          <cell r="E52">
            <v>0</v>
          </cell>
        </row>
        <row r="53">
          <cell r="E53" t="str">
            <v>-</v>
          </cell>
        </row>
        <row r="54">
          <cell r="E54">
            <v>0</v>
          </cell>
        </row>
        <row r="55">
          <cell r="E55" t="str">
            <v>-</v>
          </cell>
        </row>
        <row r="56">
          <cell r="E56">
            <v>0</v>
          </cell>
        </row>
        <row r="57">
          <cell r="E57">
            <v>2000000</v>
          </cell>
        </row>
        <row r="58">
          <cell r="E58">
            <v>0</v>
          </cell>
        </row>
        <row r="59">
          <cell r="E59">
            <v>0</v>
          </cell>
        </row>
        <row r="60">
          <cell r="E60">
            <v>0</v>
          </cell>
        </row>
        <row r="63">
          <cell r="E63">
            <v>14586000</v>
          </cell>
        </row>
        <row r="64">
          <cell r="E64">
            <v>1621000</v>
          </cell>
        </row>
        <row r="65">
          <cell r="E65">
            <v>8130000</v>
          </cell>
        </row>
        <row r="68">
          <cell r="E68">
            <v>800000</v>
          </cell>
        </row>
        <row r="69">
          <cell r="E69">
            <v>0</v>
          </cell>
        </row>
        <row r="70">
          <cell r="E70">
            <v>1000000</v>
          </cell>
        </row>
        <row r="71">
          <cell r="E71" t="str">
            <v>-</v>
          </cell>
        </row>
        <row r="73">
          <cell r="E73">
            <v>0</v>
          </cell>
        </row>
        <row r="74">
          <cell r="E74">
            <v>2000000</v>
          </cell>
        </row>
      </sheetData>
      <sheetData sheetId="6"/>
      <sheetData sheetId="7"/>
      <sheetData sheetId="8"/>
      <sheetData sheetId="9"/>
      <sheetData sheetId="10"/>
      <sheetData sheetId="11"/>
      <sheetData sheetId="12"/>
      <sheetData sheetId="13"/>
      <sheetData sheetId="14"/>
      <sheetData sheetId="15" refreshError="1"/>
      <sheetData sheetId="1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_svetilke"/>
      <sheetName val="OM_HOCE"/>
      <sheetName val="Popis"/>
      <sheetName val="Komplet"/>
      <sheetName val="RekapKol"/>
      <sheetName val="PopisDELO"/>
      <sheetName val="KalkulacijaEK"/>
      <sheetName val="CenikEK"/>
      <sheetName val="VzpostavitevEK"/>
      <sheetName val="LetniStroškiEK"/>
      <sheetName val="Vzdrževanje"/>
      <sheetName val="Kalkulacija"/>
      <sheetName val="Ponudba"/>
      <sheetName val="Ponudba (2)"/>
      <sheetName val="TerminskiPlan"/>
    </sheetNames>
    <sheetDataSet>
      <sheetData sheetId="0"/>
      <sheetData sheetId="1">
        <row r="1">
          <cell r="Y1">
            <v>4000</v>
          </cell>
        </row>
      </sheetData>
      <sheetData sheetId="2">
        <row r="1">
          <cell r="H1">
            <v>1.25</v>
          </cell>
        </row>
      </sheetData>
      <sheetData sheetId="3"/>
      <sheetData sheetId="4"/>
      <sheetData sheetId="5"/>
      <sheetData sheetId="6"/>
      <sheetData sheetId="7"/>
      <sheetData sheetId="8"/>
      <sheetData sheetId="9"/>
      <sheetData sheetId="10"/>
      <sheetData sheetId="11"/>
      <sheetData sheetId="12"/>
      <sheetData sheetId="13">
        <row r="38">
          <cell r="H38">
            <v>94.89</v>
          </cell>
        </row>
      </sheetData>
      <sheetData sheetId="1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abaEE-OM"/>
      <sheetName val="HOCE_SVETILKE_point"/>
      <sheetName val="Kalkulacija"/>
      <sheetName val="cenik EK"/>
      <sheetName val="Vzpostavitev EK"/>
      <sheetName val="Letni strošek EK"/>
    </sheetNames>
    <sheetDataSet>
      <sheetData sheetId="0"/>
      <sheetData sheetId="1">
        <row r="1">
          <cell r="W1">
            <v>1.25</v>
          </cell>
          <cell r="X1">
            <v>4000</v>
          </cell>
          <cell r="AM1">
            <v>1.1499999999999999</v>
          </cell>
        </row>
      </sheetData>
      <sheetData sheetId="2"/>
      <sheetData sheetId="3"/>
      <sheetData sheetId="4"/>
      <sheetData sheetId="5"/>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
      <sheetName val="Kazalo"/>
      <sheetName val="1.1. Bilanca stanja"/>
      <sheetName val="1.2. Izkaz poslovnega izida"/>
      <sheetName val="2. Investicija"/>
      <sheetName val="3.1. Prodaja"/>
      <sheetName val="3.2. Stroški"/>
      <sheetName val="3.3. Kratkoročna sredstva"/>
      <sheetName val="3.4. Obveznosti"/>
      <sheetName val="4. Poslovni izid"/>
      <sheetName val="5. Bilanca stanja"/>
      <sheetName val="6. Denarni izid"/>
      <sheetName val="7. Kazalniki"/>
      <sheetName val="Konstante"/>
      <sheetName val="AnuitetniNačrt"/>
      <sheetName val="TestniIzračunPlač"/>
      <sheetName val="Testiranje"/>
      <sheetName val="1_1__Bilanca_stanja"/>
      <sheetName val="1_2__Izkaz_poslovnega_izida"/>
      <sheetName val="2__Investicija"/>
      <sheetName val="3_1__Prodaja"/>
      <sheetName val="3_2__Stroški"/>
      <sheetName val="3_3__Kratkoročna_sredstva"/>
      <sheetName val="3_4__Obveznosti"/>
      <sheetName val="4__Poslovni_izid"/>
      <sheetName val="5__Bilanca_stanja"/>
      <sheetName val="6__Denarni_izid"/>
      <sheetName val="7__Kazalnik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6">
          <cell r="C6">
            <v>2008</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_svetilke"/>
      <sheetName val="RacunVzdrz"/>
      <sheetName val="RacunElektro"/>
      <sheetName val="Popis"/>
      <sheetName val="Kalkulacija"/>
      <sheetName val="Vzdrževanje"/>
      <sheetName val="Zbirna tabela"/>
      <sheetName val="Amort. načrt"/>
      <sheetName val="Finančni tokovi"/>
      <sheetName val="V1"/>
      <sheetName val="V2"/>
      <sheetName val="V 3 - Koncesija"/>
      <sheetName val="Ekonomika Petrol 1"/>
      <sheetName val="Ekonomika Petrol 2"/>
    </sheetNames>
    <sheetDataSet>
      <sheetData sheetId="0"/>
      <sheetData sheetId="1"/>
      <sheetData sheetId="2"/>
      <sheetData sheetId="3">
        <row r="6">
          <cell r="M6">
            <v>45</v>
          </cell>
          <cell r="N6">
            <v>4</v>
          </cell>
          <cell r="O6" t="str">
            <v>Kaos-250</v>
          </cell>
          <cell r="P6" t="str">
            <v>HQI</v>
          </cell>
        </row>
        <row r="7">
          <cell r="M7">
            <v>6</v>
          </cell>
          <cell r="N7">
            <v>4</v>
          </cell>
          <cell r="O7" t="str">
            <v>Kaos-250</v>
          </cell>
          <cell r="P7" t="str">
            <v>HQI</v>
          </cell>
        </row>
        <row r="8">
          <cell r="M8">
            <v>2</v>
          </cell>
          <cell r="N8">
            <v>2</v>
          </cell>
          <cell r="O8" t="str">
            <v>Kaos-70</v>
          </cell>
          <cell r="P8" t="str">
            <v>HQI</v>
          </cell>
        </row>
        <row r="9">
          <cell r="M9">
            <v>4</v>
          </cell>
          <cell r="N9">
            <v>0</v>
          </cell>
          <cell r="O9" t="str">
            <v>TARTINI2</v>
          </cell>
          <cell r="P9">
            <v>0</v>
          </cell>
        </row>
        <row r="10">
          <cell r="M10">
            <v>8</v>
          </cell>
          <cell r="N10">
            <v>0</v>
          </cell>
          <cell r="O10" t="str">
            <v>TARTINI3</v>
          </cell>
          <cell r="P10">
            <v>0</v>
          </cell>
        </row>
        <row r="11">
          <cell r="M11">
            <v>6</v>
          </cell>
          <cell r="N11">
            <v>3</v>
          </cell>
          <cell r="O11" t="str">
            <v>Kaos-150</v>
          </cell>
          <cell r="P11" t="str">
            <v>HQI</v>
          </cell>
        </row>
        <row r="12">
          <cell r="M12">
            <v>63</v>
          </cell>
          <cell r="N12">
            <v>3</v>
          </cell>
          <cell r="O12" t="str">
            <v>Kaos-150</v>
          </cell>
          <cell r="P12" t="str">
            <v>HQI</v>
          </cell>
        </row>
        <row r="13">
          <cell r="M13">
            <v>4</v>
          </cell>
          <cell r="N13">
            <v>7</v>
          </cell>
          <cell r="O13" t="str">
            <v>LSL 30S</v>
          </cell>
          <cell r="P13" t="str">
            <v>LED</v>
          </cell>
        </row>
        <row r="14">
          <cell r="M14">
            <v>58</v>
          </cell>
          <cell r="N14">
            <v>7</v>
          </cell>
          <cell r="O14" t="str">
            <v>LSL 30S</v>
          </cell>
          <cell r="P14" t="str">
            <v>LED</v>
          </cell>
        </row>
        <row r="15">
          <cell r="M15">
            <v>4</v>
          </cell>
          <cell r="N15">
            <v>7</v>
          </cell>
          <cell r="O15" t="str">
            <v>LSL 30S</v>
          </cell>
          <cell r="P15" t="str">
            <v>LED</v>
          </cell>
        </row>
        <row r="16">
          <cell r="M16">
            <v>120</v>
          </cell>
          <cell r="N16">
            <v>7</v>
          </cell>
          <cell r="O16" t="str">
            <v>LSL 30S</v>
          </cell>
          <cell r="P16" t="str">
            <v>LED</v>
          </cell>
        </row>
        <row r="17">
          <cell r="M17">
            <v>20</v>
          </cell>
          <cell r="N17">
            <v>7</v>
          </cell>
          <cell r="O17" t="str">
            <v>LSL 30S</v>
          </cell>
          <cell r="P17" t="str">
            <v>LED</v>
          </cell>
        </row>
        <row r="18">
          <cell r="M18">
            <v>75</v>
          </cell>
          <cell r="N18">
            <v>7</v>
          </cell>
          <cell r="O18" t="str">
            <v>LSL 30S</v>
          </cell>
          <cell r="P18" t="str">
            <v>LED</v>
          </cell>
        </row>
        <row r="19">
          <cell r="M19">
            <v>20</v>
          </cell>
          <cell r="N19">
            <v>7</v>
          </cell>
          <cell r="O19" t="str">
            <v>LSL 30S</v>
          </cell>
          <cell r="P19" t="str">
            <v>LED</v>
          </cell>
        </row>
        <row r="20">
          <cell r="M20">
            <v>3</v>
          </cell>
          <cell r="N20">
            <v>7</v>
          </cell>
          <cell r="O20" t="str">
            <v>LSL 30S</v>
          </cell>
          <cell r="P20" t="str">
            <v>LED</v>
          </cell>
        </row>
        <row r="21">
          <cell r="M21">
            <v>3</v>
          </cell>
          <cell r="N21">
            <v>7</v>
          </cell>
          <cell r="O21" t="str">
            <v>LSL 30S</v>
          </cell>
          <cell r="P21" t="str">
            <v>LED</v>
          </cell>
        </row>
        <row r="22">
          <cell r="M22">
            <v>37</v>
          </cell>
          <cell r="N22">
            <v>7</v>
          </cell>
          <cell r="O22" t="str">
            <v>LSL 30S</v>
          </cell>
          <cell r="P22" t="str">
            <v>LED</v>
          </cell>
        </row>
        <row r="23">
          <cell r="M23">
            <v>59</v>
          </cell>
          <cell r="N23">
            <v>7</v>
          </cell>
          <cell r="O23" t="str">
            <v>LSL 30S</v>
          </cell>
          <cell r="P23" t="str">
            <v>LED</v>
          </cell>
        </row>
        <row r="24">
          <cell r="M24">
            <v>147</v>
          </cell>
          <cell r="N24">
            <v>2</v>
          </cell>
          <cell r="O24" t="str">
            <v>Kaos-70</v>
          </cell>
          <cell r="P24" t="str">
            <v>HQI</v>
          </cell>
        </row>
        <row r="25">
          <cell r="M25">
            <v>36</v>
          </cell>
          <cell r="N25">
            <v>2</v>
          </cell>
          <cell r="O25" t="str">
            <v>Kaos-70</v>
          </cell>
          <cell r="P25" t="str">
            <v>HQI</v>
          </cell>
        </row>
        <row r="26">
          <cell r="M26">
            <v>13</v>
          </cell>
          <cell r="N26">
            <v>2</v>
          </cell>
          <cell r="O26" t="str">
            <v>Kaos-70</v>
          </cell>
          <cell r="P26" t="str">
            <v>HQI</v>
          </cell>
        </row>
        <row r="27">
          <cell r="M27">
            <v>113</v>
          </cell>
          <cell r="N27">
            <v>2</v>
          </cell>
          <cell r="O27" t="str">
            <v>Kaos-70</v>
          </cell>
          <cell r="P27" t="str">
            <v>HQI</v>
          </cell>
        </row>
        <row r="28">
          <cell r="M28">
            <v>6</v>
          </cell>
          <cell r="N28">
            <v>2</v>
          </cell>
          <cell r="O28" t="str">
            <v>Kaos-70</v>
          </cell>
          <cell r="P28" t="str">
            <v>HQI</v>
          </cell>
        </row>
        <row r="29">
          <cell r="M29">
            <v>1</v>
          </cell>
          <cell r="N29">
            <v>2</v>
          </cell>
          <cell r="O29" t="str">
            <v>Kaos-70</v>
          </cell>
          <cell r="P29" t="str">
            <v>HQI</v>
          </cell>
        </row>
        <row r="30">
          <cell r="M30">
            <v>47</v>
          </cell>
          <cell r="N30">
            <v>7</v>
          </cell>
          <cell r="O30" t="str">
            <v>LSL 30S</v>
          </cell>
          <cell r="P30" t="str">
            <v>LED</v>
          </cell>
        </row>
        <row r="31">
          <cell r="M31">
            <v>47</v>
          </cell>
          <cell r="N31">
            <v>7</v>
          </cell>
          <cell r="O31" t="str">
            <v>LSL 30S</v>
          </cell>
          <cell r="P31" t="str">
            <v>LED</v>
          </cell>
        </row>
        <row r="32">
          <cell r="M32">
            <v>5</v>
          </cell>
          <cell r="N32">
            <v>7</v>
          </cell>
          <cell r="O32" t="str">
            <v>LSL 30S</v>
          </cell>
          <cell r="P32" t="str">
            <v>LED</v>
          </cell>
        </row>
        <row r="33">
          <cell r="M33">
            <v>236</v>
          </cell>
          <cell r="N33">
            <v>2</v>
          </cell>
          <cell r="O33" t="str">
            <v>Kaos-70</v>
          </cell>
          <cell r="P33" t="str">
            <v>HQI</v>
          </cell>
        </row>
        <row r="34">
          <cell r="M34">
            <v>117</v>
          </cell>
          <cell r="N34">
            <v>2</v>
          </cell>
          <cell r="O34" t="str">
            <v>Kaos-70</v>
          </cell>
          <cell r="P34" t="str">
            <v>HQI</v>
          </cell>
        </row>
        <row r="35">
          <cell r="M35">
            <v>57</v>
          </cell>
          <cell r="N35">
            <v>2</v>
          </cell>
          <cell r="O35" t="str">
            <v>Kaos-70</v>
          </cell>
          <cell r="P35" t="str">
            <v>HQI</v>
          </cell>
        </row>
        <row r="36">
          <cell r="M36">
            <v>115</v>
          </cell>
          <cell r="N36">
            <v>2</v>
          </cell>
          <cell r="O36" t="str">
            <v>Kaos-70</v>
          </cell>
          <cell r="P36" t="str">
            <v>HQI</v>
          </cell>
        </row>
        <row r="37">
          <cell r="M37">
            <v>36</v>
          </cell>
          <cell r="N37">
            <v>2</v>
          </cell>
          <cell r="O37" t="str">
            <v>Kaos-70</v>
          </cell>
          <cell r="P37" t="str">
            <v>HQI</v>
          </cell>
        </row>
        <row r="38">
          <cell r="M38">
            <v>14</v>
          </cell>
          <cell r="N38">
            <v>2</v>
          </cell>
          <cell r="O38" t="str">
            <v>Kaos-70</v>
          </cell>
          <cell r="P38" t="str">
            <v>HQI</v>
          </cell>
        </row>
        <row r="39">
          <cell r="M39">
            <v>219</v>
          </cell>
          <cell r="N39">
            <v>7</v>
          </cell>
          <cell r="O39" t="str">
            <v>LSL 30S</v>
          </cell>
          <cell r="P39" t="str">
            <v>LED</v>
          </cell>
        </row>
        <row r="40">
          <cell r="M40">
            <v>4</v>
          </cell>
          <cell r="N40">
            <v>7</v>
          </cell>
          <cell r="O40" t="str">
            <v>LSL 30S</v>
          </cell>
          <cell r="P40" t="str">
            <v>LED</v>
          </cell>
        </row>
        <row r="41">
          <cell r="M41">
            <v>105</v>
          </cell>
          <cell r="N41">
            <v>0</v>
          </cell>
          <cell r="O41" t="str">
            <v>STARINSKA</v>
          </cell>
          <cell r="P41">
            <v>0</v>
          </cell>
        </row>
        <row r="42">
          <cell r="M42">
            <v>21</v>
          </cell>
          <cell r="N42">
            <v>7</v>
          </cell>
          <cell r="O42" t="str">
            <v>LSL 30S</v>
          </cell>
          <cell r="P42" t="str">
            <v>LED</v>
          </cell>
        </row>
        <row r="43">
          <cell r="M43">
            <v>15</v>
          </cell>
          <cell r="N43">
            <v>7</v>
          </cell>
          <cell r="O43" t="str">
            <v>LSL 30S</v>
          </cell>
          <cell r="P43" t="str">
            <v>LED</v>
          </cell>
        </row>
        <row r="44">
          <cell r="M44">
            <v>5</v>
          </cell>
          <cell r="N44">
            <v>0</v>
          </cell>
          <cell r="O44" t="str">
            <v>OKROGLA LADIJSKA</v>
          </cell>
          <cell r="P44">
            <v>0</v>
          </cell>
        </row>
        <row r="45">
          <cell r="M45">
            <v>4</v>
          </cell>
          <cell r="N45">
            <v>0</v>
          </cell>
          <cell r="O45" t="str">
            <v>OVALNA LADIJSKA</v>
          </cell>
          <cell r="P45">
            <v>0</v>
          </cell>
        </row>
        <row r="46">
          <cell r="M46">
            <v>6</v>
          </cell>
          <cell r="N46">
            <v>7</v>
          </cell>
          <cell r="O46" t="str">
            <v>LSL 30S</v>
          </cell>
          <cell r="P46" t="str">
            <v>LED</v>
          </cell>
        </row>
        <row r="47">
          <cell r="M47">
            <v>1269</v>
          </cell>
          <cell r="N47">
            <v>6</v>
          </cell>
          <cell r="O47" t="str">
            <v>LSL 15</v>
          </cell>
          <cell r="P47" t="str">
            <v>LED</v>
          </cell>
        </row>
        <row r="48">
          <cell r="M48">
            <v>85</v>
          </cell>
          <cell r="N48">
            <v>2</v>
          </cell>
          <cell r="O48" t="str">
            <v>Kaos-70</v>
          </cell>
          <cell r="P48" t="str">
            <v>HQI</v>
          </cell>
        </row>
        <row r="49">
          <cell r="M49">
            <v>17</v>
          </cell>
          <cell r="N49">
            <v>0</v>
          </cell>
          <cell r="O49" t="str">
            <v>TARTINI</v>
          </cell>
          <cell r="P49">
            <v>0</v>
          </cell>
        </row>
        <row r="50">
          <cell r="M50">
            <v>13</v>
          </cell>
          <cell r="N50">
            <v>0</v>
          </cell>
          <cell r="O50" t="str">
            <v>CX3</v>
          </cell>
          <cell r="P50">
            <v>0</v>
          </cell>
        </row>
        <row r="51">
          <cell r="M51">
            <v>78</v>
          </cell>
          <cell r="N51">
            <v>0</v>
          </cell>
          <cell r="O51" t="str">
            <v>CX4</v>
          </cell>
          <cell r="P51">
            <v>0</v>
          </cell>
        </row>
        <row r="52">
          <cell r="M52">
            <v>13</v>
          </cell>
          <cell r="N52">
            <v>0</v>
          </cell>
          <cell r="O52" t="str">
            <v>EOS</v>
          </cell>
          <cell r="P52">
            <v>0</v>
          </cell>
        </row>
        <row r="53">
          <cell r="M53">
            <v>3</v>
          </cell>
          <cell r="N53">
            <v>0</v>
          </cell>
          <cell r="O53" t="str">
            <v>INSERTY2 FV</v>
          </cell>
          <cell r="P53">
            <v>0</v>
          </cell>
        </row>
        <row r="54">
          <cell r="M54">
            <v>12</v>
          </cell>
          <cell r="N54">
            <v>0</v>
          </cell>
          <cell r="O54" t="str">
            <v>INSERTY2 GO</v>
          </cell>
          <cell r="P54">
            <v>0</v>
          </cell>
        </row>
        <row r="55">
          <cell r="M55">
            <v>27</v>
          </cell>
          <cell r="N55">
            <v>0</v>
          </cell>
          <cell r="O55" t="str">
            <v>NT3</v>
          </cell>
          <cell r="P55">
            <v>0</v>
          </cell>
        </row>
        <row r="56">
          <cell r="M56">
            <v>11</v>
          </cell>
          <cell r="N56">
            <v>0</v>
          </cell>
          <cell r="O56" t="str">
            <v>NT4</v>
          </cell>
          <cell r="P56">
            <v>0</v>
          </cell>
        </row>
        <row r="57">
          <cell r="M57">
            <v>10</v>
          </cell>
          <cell r="N57">
            <v>0</v>
          </cell>
          <cell r="O57" t="str">
            <v>NT5</v>
          </cell>
          <cell r="P57">
            <v>0</v>
          </cell>
        </row>
        <row r="58">
          <cell r="M58">
            <v>2</v>
          </cell>
          <cell r="N58">
            <v>0</v>
          </cell>
          <cell r="O58" t="str">
            <v>REFLEKTOR</v>
          </cell>
          <cell r="P58">
            <v>0</v>
          </cell>
        </row>
        <row r="59">
          <cell r="M59">
            <v>5</v>
          </cell>
          <cell r="N59">
            <v>0</v>
          </cell>
          <cell r="O59" t="str">
            <v>REFLEKTOR</v>
          </cell>
          <cell r="P59">
            <v>0</v>
          </cell>
        </row>
        <row r="60">
          <cell r="M60">
            <v>1</v>
          </cell>
          <cell r="N60">
            <v>0</v>
          </cell>
          <cell r="O60" t="str">
            <v>REFLEKTOR</v>
          </cell>
          <cell r="P60">
            <v>0</v>
          </cell>
        </row>
        <row r="61">
          <cell r="M61">
            <v>4</v>
          </cell>
          <cell r="N61">
            <v>0</v>
          </cell>
          <cell r="O61" t="str">
            <v>REFLEKTOR</v>
          </cell>
          <cell r="P61">
            <v>0</v>
          </cell>
        </row>
        <row r="62">
          <cell r="M62">
            <v>4</v>
          </cell>
          <cell r="N62">
            <v>0</v>
          </cell>
          <cell r="O62" t="str">
            <v>REFLEKTOR</v>
          </cell>
          <cell r="P62">
            <v>0</v>
          </cell>
        </row>
        <row r="63">
          <cell r="M63">
            <v>50</v>
          </cell>
          <cell r="N63">
            <v>0</v>
          </cell>
          <cell r="O63" t="str">
            <v>TUNEL</v>
          </cell>
          <cell r="P63">
            <v>0</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Rates"/>
      <sheetName val="Kurs walut"/>
      <sheetName val="OFFER"/>
      <sheetName val="Pipe"/>
      <sheetName val="zbiorczy (new)"/>
      <sheetName val="Prezračevanje"/>
      <sheetName val="Kurs_walut"/>
      <sheetName val="zbiorczy_(new)"/>
    </sheetNames>
    <sheetDataSet>
      <sheetData sheetId="0" refreshError="1"/>
      <sheetData sheetId="1" refreshError="1"/>
      <sheetData sheetId="2" refreshError="1"/>
      <sheetData sheetId="3"/>
      <sheetData sheetId="4" refreshError="1"/>
      <sheetData sheetId="5" refreshError="1"/>
      <sheetData sheetId="6"/>
      <sheetData sheetId="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GENTI"/>
      <sheetName val="Program"/>
      <sheetName val="UKREPI - splošno"/>
      <sheetName val="UPRAVLJANJE"/>
      <sheetName val="OB01"/>
      <sheetName val="OB02"/>
      <sheetName val="OB03"/>
      <sheetName val="OB04"/>
      <sheetName val="OB05"/>
      <sheetName val="OB06"/>
      <sheetName val="OB07"/>
      <sheetName val="OB08"/>
      <sheetName val="OB09"/>
      <sheetName val="OB10"/>
      <sheetName val="OB11"/>
      <sheetName val="OB12"/>
      <sheetName val="OB13"/>
      <sheetName val="OB14"/>
      <sheetName val="OB15"/>
      <sheetName val="OB16"/>
      <sheetName val="OB17"/>
      <sheetName val="OB18"/>
      <sheetName val="OB19"/>
      <sheetName val="OB20"/>
      <sheetName val="OB21"/>
      <sheetName val="OB22"/>
      <sheetName val="OB23"/>
      <sheetName val="OB24"/>
      <sheetName val="OB25"/>
      <sheetName val="OB26"/>
      <sheetName val="OB27"/>
      <sheetName val="OB28"/>
      <sheetName val="OB29"/>
      <sheetName val="OB30"/>
      <sheetName val="OB31"/>
      <sheetName val="OB32"/>
      <sheetName val="OB33"/>
      <sheetName val="OB34"/>
      <sheetName val="OB35"/>
      <sheetName val="OB36"/>
      <sheetName val="OB37"/>
      <sheetName val="OB38"/>
      <sheetName val="SKUPAJ"/>
      <sheetName val="VZOREC OBRAČUNA - TOPLOTA"/>
      <sheetName val="VZOREC OBRAČUNA - EL. ENERGIJA"/>
      <sheetName val="VZOREC OBRAČUNA - SKUPAJ"/>
    </sheetNames>
    <sheetDataSet>
      <sheetData sheetId="0" refreshError="1">
        <row r="9">
          <cell r="A9" t="str">
            <v>OB01</v>
          </cell>
          <cell r="B9" t="str">
            <v>Občinska stavba MO Kranj</v>
          </cell>
          <cell r="C9" t="str">
            <v>Slovenski trg 1, 4000 Kranj</v>
          </cell>
          <cell r="D9">
            <v>9320</v>
          </cell>
          <cell r="E9">
            <v>1937</v>
          </cell>
          <cell r="F9" t="str">
            <v>raba v kWh</v>
          </cell>
          <cell r="G9">
            <v>527915.66666666674</v>
          </cell>
          <cell r="H9">
            <v>501385</v>
          </cell>
          <cell r="I9">
            <v>474136</v>
          </cell>
          <cell r="J9">
            <v>462994.66666666669</v>
          </cell>
          <cell r="K9">
            <v>491607.83333333337</v>
          </cell>
          <cell r="L9">
            <v>52.747621602288987</v>
          </cell>
          <cell r="M9">
            <v>491607.83333333337</v>
          </cell>
          <cell r="N9">
            <v>50933.002500000002</v>
          </cell>
          <cell r="O9">
            <v>52.747621602288987</v>
          </cell>
          <cell r="P9">
            <v>103.60494493069848</v>
          </cell>
          <cell r="Q9">
            <v>0</v>
          </cell>
          <cell r="R9" t="str">
            <v>ZP</v>
          </cell>
          <cell r="S9" t="str">
            <v>raba v kWh</v>
          </cell>
          <cell r="T9">
            <v>0</v>
          </cell>
          <cell r="U9">
            <v>700174.24</v>
          </cell>
          <cell r="V9">
            <v>841519.3600000001</v>
          </cell>
          <cell r="W9">
            <v>932256.6399999999</v>
          </cell>
          <cell r="X9">
            <v>618487.56000000006</v>
          </cell>
          <cell r="Y9">
            <v>66.361326180257521</v>
          </cell>
          <cell r="Z9">
            <v>652770.82850599696</v>
          </cell>
          <cell r="AA9">
            <v>34620.811472588233</v>
          </cell>
          <cell r="AB9">
            <v>70.039788466308693</v>
          </cell>
          <cell r="AC9">
            <v>53.036701336401975</v>
          </cell>
          <cell r="AD9">
            <v>3916.6249710359816</v>
          </cell>
          <cell r="AE9">
            <v>89470.43894362422</v>
          </cell>
        </row>
        <row r="10">
          <cell r="A10">
            <v>0</v>
          </cell>
          <cell r="B10">
            <v>0</v>
          </cell>
          <cell r="C10">
            <v>0</v>
          </cell>
          <cell r="D10">
            <v>0</v>
          </cell>
          <cell r="E10">
            <v>0</v>
          </cell>
          <cell r="F10" t="str">
            <v>stroški v €</v>
          </cell>
          <cell r="G10">
            <v>55368.920000000013</v>
          </cell>
          <cell r="H10">
            <v>51346.079999999994</v>
          </cell>
          <cell r="I10">
            <v>48493.640000000014</v>
          </cell>
          <cell r="J10">
            <v>48523.37</v>
          </cell>
          <cell r="K10">
            <v>50933.002500000002</v>
          </cell>
          <cell r="L10">
            <v>0</v>
          </cell>
          <cell r="M10">
            <v>0</v>
          </cell>
          <cell r="N10">
            <v>0</v>
          </cell>
          <cell r="O10">
            <v>0</v>
          </cell>
          <cell r="P10">
            <v>0</v>
          </cell>
          <cell r="Q10">
            <v>0</v>
          </cell>
          <cell r="R10">
            <v>0</v>
          </cell>
          <cell r="S10" t="str">
            <v>stroški v €</v>
          </cell>
          <cell r="T10">
            <v>0</v>
          </cell>
          <cell r="U10">
            <v>40114.200000000004</v>
          </cell>
          <cell r="V10">
            <v>48884.67</v>
          </cell>
          <cell r="W10">
            <v>42211.290000000008</v>
          </cell>
          <cell r="X10">
            <v>32802.54</v>
          </cell>
          <cell r="Y10">
            <v>0</v>
          </cell>
          <cell r="Z10">
            <v>0</v>
          </cell>
          <cell r="AA10">
            <v>0</v>
          </cell>
          <cell r="AB10">
            <v>0</v>
          </cell>
          <cell r="AC10">
            <v>0</v>
          </cell>
        </row>
        <row r="11">
          <cell r="A11">
            <v>0</v>
          </cell>
          <cell r="D11">
            <v>0</v>
          </cell>
          <cell r="E11">
            <v>0</v>
          </cell>
          <cell r="F11">
            <v>0</v>
          </cell>
          <cell r="G11">
            <v>0</v>
          </cell>
          <cell r="H11">
            <v>0</v>
          </cell>
          <cell r="I11">
            <v>0</v>
          </cell>
          <cell r="J11">
            <v>0</v>
          </cell>
          <cell r="K11">
            <v>0</v>
          </cell>
          <cell r="L11">
            <v>0</v>
          </cell>
          <cell r="M11">
            <v>0</v>
          </cell>
          <cell r="N11">
            <v>0</v>
          </cell>
          <cell r="O11">
            <v>0</v>
          </cell>
          <cell r="P11">
            <v>0</v>
          </cell>
          <cell r="R11">
            <v>0</v>
          </cell>
          <cell r="S11">
            <v>0</v>
          </cell>
          <cell r="T11">
            <v>0</v>
          </cell>
          <cell r="U11">
            <v>0</v>
          </cell>
          <cell r="V11">
            <v>0</v>
          </cell>
          <cell r="W11">
            <v>0</v>
          </cell>
          <cell r="X11">
            <v>0</v>
          </cell>
          <cell r="Y11">
            <v>0</v>
          </cell>
          <cell r="Z11">
            <v>0</v>
          </cell>
          <cell r="AA11">
            <v>0</v>
          </cell>
          <cell r="AB11">
            <v>0</v>
          </cell>
          <cell r="AC11">
            <v>0</v>
          </cell>
        </row>
        <row r="12">
          <cell r="A12" t="str">
            <v>OB02</v>
          </cell>
          <cell r="B12" t="str">
            <v>Prešernovo gledališče Kranj</v>
          </cell>
          <cell r="C12" t="str">
            <v>Glavni trg 6, 4000 Kranj</v>
          </cell>
          <cell r="D12">
            <v>1477</v>
          </cell>
          <cell r="E12" t="str">
            <v>19.stoletje</v>
          </cell>
          <cell r="F12" t="str">
            <v>raba v kWh</v>
          </cell>
          <cell r="G12">
            <v>58967</v>
          </cell>
          <cell r="H12">
            <v>56237</v>
          </cell>
          <cell r="I12">
            <v>60963</v>
          </cell>
          <cell r="J12">
            <v>49881</v>
          </cell>
          <cell r="K12">
            <v>56512</v>
          </cell>
          <cell r="L12">
            <v>38.261340555179416</v>
          </cell>
          <cell r="M12">
            <v>56512</v>
          </cell>
          <cell r="N12">
            <v>7321.3000000000011</v>
          </cell>
          <cell r="O12">
            <v>38.261340555179416</v>
          </cell>
          <cell r="P12">
            <v>129.55301528878823</v>
          </cell>
          <cell r="Q12">
            <v>0</v>
          </cell>
          <cell r="R12" t="str">
            <v>ELKO</v>
          </cell>
          <cell r="S12" t="str">
            <v>raba v kWh</v>
          </cell>
          <cell r="T12">
            <v>256888.80000000002</v>
          </cell>
          <cell r="U12">
            <v>133570.08000000002</v>
          </cell>
          <cell r="V12">
            <v>220278.24</v>
          </cell>
          <cell r="W12">
            <v>243260.64</v>
          </cell>
          <cell r="X12">
            <v>213499.44</v>
          </cell>
          <cell r="Y12">
            <v>144.54938388625592</v>
          </cell>
          <cell r="Z12">
            <v>225333.88761184845</v>
          </cell>
          <cell r="AA12">
            <v>10404.621658529568</v>
          </cell>
          <cell r="AB12">
            <v>152.56187380626164</v>
          </cell>
          <cell r="AC12">
            <v>46.174242892627724</v>
          </cell>
          <cell r="AD12">
            <v>1352.0033256710908</v>
          </cell>
          <cell r="AE12">
            <v>1352.0033256710908</v>
          </cell>
        </row>
        <row r="13">
          <cell r="A13">
            <v>0</v>
          </cell>
          <cell r="B13">
            <v>0</v>
          </cell>
          <cell r="C13">
            <v>0</v>
          </cell>
          <cell r="D13">
            <v>0</v>
          </cell>
          <cell r="E13">
            <v>0</v>
          </cell>
          <cell r="F13" t="str">
            <v>stroški v €</v>
          </cell>
          <cell r="G13">
            <v>8269.2300000000014</v>
          </cell>
          <cell r="H13">
            <v>7335.12</v>
          </cell>
          <cell r="I13">
            <v>7311.9400000000005</v>
          </cell>
          <cell r="J13">
            <v>6368.9099999999989</v>
          </cell>
          <cell r="K13">
            <v>7321.3</v>
          </cell>
          <cell r="L13">
            <v>0</v>
          </cell>
          <cell r="M13">
            <v>0</v>
          </cell>
          <cell r="N13">
            <v>0</v>
          </cell>
          <cell r="O13">
            <v>0</v>
          </cell>
          <cell r="P13">
            <v>0</v>
          </cell>
          <cell r="Q13">
            <v>0</v>
          </cell>
          <cell r="R13">
            <v>0</v>
          </cell>
          <cell r="S13" t="str">
            <v>stroški v €</v>
          </cell>
          <cell r="T13">
            <v>10951</v>
          </cell>
          <cell r="U13">
            <v>6366.8</v>
          </cell>
          <cell r="V13">
            <v>7967.53</v>
          </cell>
          <cell r="W13">
            <v>14147.37</v>
          </cell>
          <cell r="X13">
            <v>9858.1749999999993</v>
          </cell>
          <cell r="Y13">
            <v>0</v>
          </cell>
          <cell r="Z13">
            <v>0</v>
          </cell>
          <cell r="AA13">
            <v>0</v>
          </cell>
          <cell r="AB13">
            <v>0</v>
          </cell>
          <cell r="AC13">
            <v>0</v>
          </cell>
        </row>
        <row r="14">
          <cell r="A14">
            <v>0</v>
          </cell>
          <cell r="D14">
            <v>0</v>
          </cell>
          <cell r="E14">
            <v>0</v>
          </cell>
          <cell r="F14">
            <v>0</v>
          </cell>
          <cell r="G14">
            <v>0</v>
          </cell>
          <cell r="H14">
            <v>0</v>
          </cell>
          <cell r="I14">
            <v>0</v>
          </cell>
          <cell r="J14">
            <v>0</v>
          </cell>
          <cell r="K14">
            <v>0</v>
          </cell>
          <cell r="L14">
            <v>0</v>
          </cell>
          <cell r="M14">
            <v>0</v>
          </cell>
          <cell r="N14">
            <v>0</v>
          </cell>
          <cell r="O14">
            <v>0</v>
          </cell>
          <cell r="P14">
            <v>0</v>
          </cell>
          <cell r="R14">
            <v>0</v>
          </cell>
          <cell r="S14">
            <v>0</v>
          </cell>
          <cell r="T14">
            <v>0</v>
          </cell>
          <cell r="U14">
            <v>0</v>
          </cell>
          <cell r="V14">
            <v>0</v>
          </cell>
          <cell r="W14">
            <v>0</v>
          </cell>
          <cell r="X14">
            <v>0</v>
          </cell>
          <cell r="Y14">
            <v>0</v>
          </cell>
          <cell r="Z14">
            <v>0</v>
          </cell>
          <cell r="AA14">
            <v>0</v>
          </cell>
          <cell r="AB14">
            <v>0</v>
          </cell>
          <cell r="AC14">
            <v>0</v>
          </cell>
        </row>
        <row r="15">
          <cell r="A15" t="str">
            <v>OB03</v>
          </cell>
          <cell r="B15" t="str">
            <v>OŠ France Prešeren</v>
          </cell>
          <cell r="C15" t="str">
            <v>Kidričeva cesta 49, Kranj</v>
          </cell>
          <cell r="D15">
            <v>5747</v>
          </cell>
          <cell r="E15">
            <v>1968</v>
          </cell>
          <cell r="F15" t="str">
            <v>raba v kWh</v>
          </cell>
          <cell r="G15">
            <v>165706</v>
          </cell>
          <cell r="H15">
            <v>163925</v>
          </cell>
          <cell r="I15">
            <v>165543</v>
          </cell>
          <cell r="J15">
            <v>140991.81</v>
          </cell>
          <cell r="K15">
            <v>159041.45250000001</v>
          </cell>
          <cell r="L15">
            <v>27.673821559074302</v>
          </cell>
          <cell r="M15">
            <v>159041.45250000001</v>
          </cell>
          <cell r="N15">
            <v>19558.5275</v>
          </cell>
          <cell r="O15">
            <v>27.673821559074302</v>
          </cell>
          <cell r="P15">
            <v>122.97754574393112</v>
          </cell>
          <cell r="Q15">
            <v>0</v>
          </cell>
          <cell r="R15" t="str">
            <v>ZP</v>
          </cell>
          <cell r="S15" t="str">
            <v>raba v kWh</v>
          </cell>
          <cell r="T15">
            <v>716892.48</v>
          </cell>
          <cell r="U15">
            <v>756134.55999999994</v>
          </cell>
          <cell r="V15">
            <v>830144.15999999992</v>
          </cell>
          <cell r="W15">
            <v>854924.15999999992</v>
          </cell>
          <cell r="X15">
            <v>789523.84000000008</v>
          </cell>
          <cell r="Y15">
            <v>137.38017052375153</v>
          </cell>
          <cell r="Z15">
            <v>833287.7886210616</v>
          </cell>
          <cell r="AA15">
            <v>88272.011506468392</v>
          </cell>
          <cell r="AB15">
            <v>144.99526511589727</v>
          </cell>
          <cell r="AC15">
            <v>105.93220338983051</v>
          </cell>
          <cell r="AD15">
            <v>4999.7267317263695</v>
          </cell>
          <cell r="AE15">
            <v>93271.738238194768</v>
          </cell>
        </row>
        <row r="16">
          <cell r="A16">
            <v>0</v>
          </cell>
          <cell r="B16">
            <v>0</v>
          </cell>
          <cell r="C16">
            <v>0</v>
          </cell>
          <cell r="D16">
            <v>0</v>
          </cell>
          <cell r="E16">
            <v>0</v>
          </cell>
          <cell r="F16" t="str">
            <v>stroški v €</v>
          </cell>
          <cell r="G16">
            <v>19572.97</v>
          </cell>
          <cell r="H16">
            <v>19055.54</v>
          </cell>
          <cell r="I16">
            <v>19139.940000000002</v>
          </cell>
          <cell r="J16">
            <v>20465.66</v>
          </cell>
          <cell r="K16">
            <v>19558.5275</v>
          </cell>
          <cell r="L16">
            <v>0</v>
          </cell>
          <cell r="M16">
            <v>0</v>
          </cell>
          <cell r="N16">
            <v>0</v>
          </cell>
          <cell r="O16">
            <v>0</v>
          </cell>
          <cell r="P16">
            <v>0</v>
          </cell>
          <cell r="Q16">
            <v>0</v>
          </cell>
          <cell r="R16">
            <v>0</v>
          </cell>
          <cell r="S16" t="str">
            <v>stroški v €</v>
          </cell>
          <cell r="T16">
            <v>75942</v>
          </cell>
          <cell r="U16">
            <v>80099</v>
          </cell>
          <cell r="V16">
            <v>87939</v>
          </cell>
          <cell r="W16">
            <v>90564</v>
          </cell>
          <cell r="X16">
            <v>83636</v>
          </cell>
          <cell r="Y16">
            <v>0</v>
          </cell>
          <cell r="Z16">
            <v>0</v>
          </cell>
          <cell r="AA16">
            <v>0</v>
          </cell>
          <cell r="AB16">
            <v>0</v>
          </cell>
          <cell r="AC16">
            <v>0</v>
          </cell>
        </row>
        <row r="17">
          <cell r="A17">
            <v>0</v>
          </cell>
          <cell r="D17">
            <v>0</v>
          </cell>
          <cell r="E17">
            <v>0</v>
          </cell>
          <cell r="F17">
            <v>0</v>
          </cell>
          <cell r="G17">
            <v>0</v>
          </cell>
          <cell r="H17">
            <v>0</v>
          </cell>
          <cell r="I17">
            <v>0</v>
          </cell>
          <cell r="J17">
            <v>0</v>
          </cell>
          <cell r="K17">
            <v>0</v>
          </cell>
          <cell r="L17">
            <v>0</v>
          </cell>
          <cell r="M17">
            <v>0</v>
          </cell>
          <cell r="N17">
            <v>0</v>
          </cell>
          <cell r="O17">
            <v>0</v>
          </cell>
          <cell r="P17">
            <v>0</v>
          </cell>
          <cell r="R17">
            <v>0</v>
          </cell>
          <cell r="S17">
            <v>0</v>
          </cell>
          <cell r="T17">
            <v>0</v>
          </cell>
          <cell r="U17">
            <v>0</v>
          </cell>
          <cell r="V17">
            <v>0</v>
          </cell>
          <cell r="W17">
            <v>0</v>
          </cell>
          <cell r="X17">
            <v>0</v>
          </cell>
          <cell r="Y17">
            <v>0</v>
          </cell>
          <cell r="Z17">
            <v>0</v>
          </cell>
          <cell r="AA17">
            <v>0</v>
          </cell>
          <cell r="AB17">
            <v>0</v>
          </cell>
          <cell r="AC17">
            <v>0</v>
          </cell>
        </row>
        <row r="18">
          <cell r="A18" t="str">
            <v>OB04</v>
          </cell>
          <cell r="B18" t="str">
            <v>OŠ France Prešeren - POŠ Kokrica</v>
          </cell>
          <cell r="C18" t="str">
            <v>Cesta na Brdo 45a, 4000 Kranj</v>
          </cell>
          <cell r="D18">
            <v>1312</v>
          </cell>
          <cell r="E18">
            <v>1973</v>
          </cell>
          <cell r="F18" t="str">
            <v>raba v kWh</v>
          </cell>
          <cell r="G18">
            <v>73479</v>
          </cell>
          <cell r="H18">
            <v>82474</v>
          </cell>
          <cell r="I18">
            <v>72829</v>
          </cell>
          <cell r="J18">
            <v>74428</v>
          </cell>
          <cell r="K18">
            <v>75802.5</v>
          </cell>
          <cell r="L18">
            <v>57.776295731707314</v>
          </cell>
          <cell r="M18">
            <v>75802.5</v>
          </cell>
          <cell r="N18">
            <v>6626.8125</v>
          </cell>
          <cell r="O18">
            <v>57.776295731707314</v>
          </cell>
          <cell r="P18">
            <v>87.422083704363317</v>
          </cell>
          <cell r="Q18">
            <v>0</v>
          </cell>
          <cell r="R18" t="str">
            <v>ELKO</v>
          </cell>
          <cell r="S18" t="str">
            <v>raba v kWh</v>
          </cell>
          <cell r="T18">
            <v>205410.24</v>
          </cell>
          <cell r="U18">
            <v>97171.199999999997</v>
          </cell>
          <cell r="V18">
            <v>233614.07999999999</v>
          </cell>
          <cell r="W18">
            <v>69007.680000000008</v>
          </cell>
          <cell r="X18">
            <v>151300.80000000002</v>
          </cell>
          <cell r="Y18">
            <v>115.32073170731708</v>
          </cell>
          <cell r="Z18">
            <v>159687.52640654589</v>
          </cell>
          <cell r="AA18">
            <v>10558.002141481616</v>
          </cell>
          <cell r="AB18">
            <v>121.71305366352583</v>
          </cell>
          <cell r="AC18">
            <v>66.11663652802892</v>
          </cell>
          <cell r="AD18">
            <v>958.12515843927531</v>
          </cell>
          <cell r="AE18">
            <v>11516.127299920892</v>
          </cell>
        </row>
        <row r="19">
          <cell r="A19">
            <v>0</v>
          </cell>
          <cell r="B19">
            <v>0</v>
          </cell>
          <cell r="C19">
            <v>0</v>
          </cell>
          <cell r="D19">
            <v>0</v>
          </cell>
          <cell r="E19">
            <v>0</v>
          </cell>
          <cell r="F19" t="str">
            <v>stroški v €</v>
          </cell>
          <cell r="G19">
            <v>6560.2300000000005</v>
          </cell>
          <cell r="H19">
            <v>7952.4100000000008</v>
          </cell>
          <cell r="I19">
            <v>6601.88</v>
          </cell>
          <cell r="J19">
            <v>5392.7300000000005</v>
          </cell>
          <cell r="K19">
            <v>6626.8125</v>
          </cell>
          <cell r="L19">
            <v>0</v>
          </cell>
          <cell r="M19">
            <v>0</v>
          </cell>
          <cell r="N19">
            <v>0</v>
          </cell>
          <cell r="O19">
            <v>0</v>
          </cell>
          <cell r="P19">
            <v>0</v>
          </cell>
          <cell r="Q19">
            <v>0</v>
          </cell>
          <cell r="R19">
            <v>0</v>
          </cell>
          <cell r="S19" t="str">
            <v>stroški v €</v>
          </cell>
          <cell r="T19">
            <v>13159</v>
          </cell>
          <cell r="U19">
            <v>8000</v>
          </cell>
          <cell r="V19">
            <v>12009</v>
          </cell>
          <cell r="W19">
            <v>6846</v>
          </cell>
          <cell r="X19">
            <v>10003.5</v>
          </cell>
          <cell r="Y19">
            <v>0</v>
          </cell>
          <cell r="Z19">
            <v>0</v>
          </cell>
          <cell r="AA19">
            <v>0</v>
          </cell>
          <cell r="AB19">
            <v>0</v>
          </cell>
          <cell r="AC19">
            <v>0</v>
          </cell>
        </row>
        <row r="20">
          <cell r="A20">
            <v>0</v>
          </cell>
          <cell r="D20">
            <v>0</v>
          </cell>
          <cell r="E20">
            <v>0</v>
          </cell>
          <cell r="F20">
            <v>0</v>
          </cell>
          <cell r="G20">
            <v>0</v>
          </cell>
          <cell r="H20">
            <v>0</v>
          </cell>
          <cell r="I20">
            <v>0</v>
          </cell>
          <cell r="J20">
            <v>0</v>
          </cell>
          <cell r="K20">
            <v>0</v>
          </cell>
          <cell r="L20">
            <v>0</v>
          </cell>
          <cell r="M20">
            <v>0</v>
          </cell>
          <cell r="N20">
            <v>0</v>
          </cell>
          <cell r="O20">
            <v>0</v>
          </cell>
          <cell r="P20">
            <v>0</v>
          </cell>
          <cell r="R20">
            <v>0</v>
          </cell>
          <cell r="S20">
            <v>0</v>
          </cell>
          <cell r="T20">
            <v>0</v>
          </cell>
          <cell r="U20">
            <v>0</v>
          </cell>
          <cell r="V20">
            <v>0</v>
          </cell>
          <cell r="W20">
            <v>0</v>
          </cell>
          <cell r="X20">
            <v>0</v>
          </cell>
          <cell r="Y20">
            <v>0</v>
          </cell>
          <cell r="Z20">
            <v>0</v>
          </cell>
          <cell r="AA20">
            <v>0</v>
          </cell>
          <cell r="AB20">
            <v>0</v>
          </cell>
          <cell r="AC20">
            <v>0</v>
          </cell>
        </row>
        <row r="21">
          <cell r="A21" t="str">
            <v>OB05</v>
          </cell>
          <cell r="B21" t="str">
            <v>OŠ Helene Puhar</v>
          </cell>
          <cell r="C21" t="str">
            <v>Kidričeva cesta 51, 4000 Kranj</v>
          </cell>
          <cell r="D21">
            <v>2247</v>
          </cell>
          <cell r="E21">
            <v>1974</v>
          </cell>
          <cell r="F21" t="str">
            <v>raba v kWh</v>
          </cell>
          <cell r="G21">
            <v>86748</v>
          </cell>
          <cell r="H21">
            <v>92519</v>
          </cell>
          <cell r="I21">
            <v>88188</v>
          </cell>
          <cell r="J21">
            <v>89773</v>
          </cell>
          <cell r="K21">
            <v>89307</v>
          </cell>
          <cell r="L21">
            <v>39.744993324432578</v>
          </cell>
          <cell r="M21">
            <v>89307</v>
          </cell>
          <cell r="N21">
            <v>10341.877500000001</v>
          </cell>
          <cell r="O21">
            <v>39.744993324432578</v>
          </cell>
          <cell r="P21">
            <v>115.80142094124761</v>
          </cell>
          <cell r="Q21">
            <v>0</v>
          </cell>
          <cell r="R21" t="str">
            <v>ZP</v>
          </cell>
          <cell r="S21" t="str">
            <v>raba v kWh</v>
          </cell>
          <cell r="T21">
            <v>286862.71999999997</v>
          </cell>
          <cell r="U21">
            <v>207746.08000000002</v>
          </cell>
          <cell r="V21">
            <v>254974.39999999997</v>
          </cell>
          <cell r="W21">
            <v>268303.68</v>
          </cell>
          <cell r="X21">
            <v>254471.71999999997</v>
          </cell>
          <cell r="Y21">
            <v>113.24954161103693</v>
          </cell>
          <cell r="Z21">
            <v>268577.29441760486</v>
          </cell>
          <cell r="AA21">
            <v>28450.984578136111</v>
          </cell>
          <cell r="AB21">
            <v>119.52705581557849</v>
          </cell>
          <cell r="AC21">
            <v>105.93220338983052</v>
          </cell>
          <cell r="AD21">
            <v>1611.4637665056293</v>
          </cell>
          <cell r="AE21">
            <v>1611.4637665056293</v>
          </cell>
        </row>
        <row r="22">
          <cell r="A22">
            <v>0</v>
          </cell>
          <cell r="B22">
            <v>0</v>
          </cell>
          <cell r="C22">
            <v>0</v>
          </cell>
          <cell r="D22">
            <v>0</v>
          </cell>
          <cell r="E22">
            <v>0</v>
          </cell>
          <cell r="F22" t="str">
            <v>stroški v €</v>
          </cell>
          <cell r="G22">
            <v>10537.199999999999</v>
          </cell>
          <cell r="H22">
            <v>10573.990000000002</v>
          </cell>
          <cell r="I22">
            <v>9947.5</v>
          </cell>
          <cell r="J22">
            <v>10308.82</v>
          </cell>
          <cell r="K22">
            <v>10341.877500000001</v>
          </cell>
          <cell r="L22">
            <v>0</v>
          </cell>
          <cell r="M22">
            <v>0</v>
          </cell>
          <cell r="N22">
            <v>0</v>
          </cell>
          <cell r="O22">
            <v>0</v>
          </cell>
          <cell r="P22">
            <v>0</v>
          </cell>
          <cell r="Q22">
            <v>0</v>
          </cell>
          <cell r="R22">
            <v>0</v>
          </cell>
          <cell r="S22" t="str">
            <v>stroški v €</v>
          </cell>
          <cell r="T22">
            <v>30388</v>
          </cell>
          <cell r="U22">
            <v>22007</v>
          </cell>
          <cell r="V22">
            <v>27010</v>
          </cell>
          <cell r="W22">
            <v>28422</v>
          </cell>
          <cell r="X22">
            <v>26956.75</v>
          </cell>
          <cell r="Y22">
            <v>0</v>
          </cell>
          <cell r="Z22">
            <v>0</v>
          </cell>
          <cell r="AA22">
            <v>0</v>
          </cell>
          <cell r="AB22">
            <v>0</v>
          </cell>
          <cell r="AC22">
            <v>0</v>
          </cell>
        </row>
        <row r="23">
          <cell r="A23">
            <v>0</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row>
        <row r="24">
          <cell r="A24" t="str">
            <v>OB06</v>
          </cell>
          <cell r="B24" t="str">
            <v>OŠ Jakoba Aljaža s športno dvorano</v>
          </cell>
          <cell r="C24" t="str">
            <v>Ulica Tončka Dežmana 1, 4000 Kranj</v>
          </cell>
          <cell r="D24">
            <v>7715</v>
          </cell>
          <cell r="E24">
            <v>1980</v>
          </cell>
          <cell r="F24" t="str">
            <v>raba v kWh</v>
          </cell>
          <cell r="G24">
            <v>321030</v>
          </cell>
          <cell r="H24">
            <v>307825</v>
          </cell>
          <cell r="I24">
            <v>311540</v>
          </cell>
          <cell r="J24">
            <v>277985</v>
          </cell>
          <cell r="K24">
            <v>304595</v>
          </cell>
          <cell r="L24">
            <v>39.480881399870384</v>
          </cell>
          <cell r="M24">
            <v>304595</v>
          </cell>
          <cell r="N24">
            <v>33751.705000000002</v>
          </cell>
          <cell r="O24">
            <v>39.480881399870384</v>
          </cell>
          <cell r="P24">
            <v>110.80846698074492</v>
          </cell>
          <cell r="Q24">
            <v>0</v>
          </cell>
          <cell r="R24" t="str">
            <v>ZP</v>
          </cell>
          <cell r="S24" t="str">
            <v>raba v kWh</v>
          </cell>
          <cell r="T24">
            <v>1148020</v>
          </cell>
          <cell r="U24">
            <v>939600</v>
          </cell>
          <cell r="V24">
            <v>1004174</v>
          </cell>
          <cell r="W24">
            <v>1192118</v>
          </cell>
          <cell r="X24">
            <v>1070978</v>
          </cell>
          <cell r="Y24">
            <v>138.81762799740764</v>
          </cell>
          <cell r="Z24">
            <v>1130343.1816343979</v>
          </cell>
          <cell r="AA24">
            <v>52012.339999282252</v>
          </cell>
          <cell r="AB24">
            <v>146.51240202649359</v>
          </cell>
          <cell r="AC24">
            <v>46.014644794933886</v>
          </cell>
          <cell r="AD24">
            <v>6782.0590898063874</v>
          </cell>
          <cell r="AE24">
            <v>58794.399089088642</v>
          </cell>
        </row>
        <row r="25">
          <cell r="A25">
            <v>0</v>
          </cell>
          <cell r="B25">
            <v>0</v>
          </cell>
          <cell r="C25">
            <v>0</v>
          </cell>
          <cell r="D25">
            <v>0</v>
          </cell>
          <cell r="E25">
            <v>0</v>
          </cell>
          <cell r="F25" t="str">
            <v>stroški v €</v>
          </cell>
          <cell r="G25">
            <v>37931.449999999997</v>
          </cell>
          <cell r="H25">
            <v>33225.71</v>
          </cell>
          <cell r="I25">
            <v>33836.700000000004</v>
          </cell>
          <cell r="J25">
            <v>30012.960000000003</v>
          </cell>
          <cell r="K25">
            <v>33751.705000000002</v>
          </cell>
          <cell r="L25">
            <v>0</v>
          </cell>
          <cell r="M25">
            <v>0</v>
          </cell>
          <cell r="N25">
            <v>0</v>
          </cell>
          <cell r="O25">
            <v>0</v>
          </cell>
          <cell r="P25">
            <v>0</v>
          </cell>
          <cell r="Q25">
            <v>0</v>
          </cell>
          <cell r="R25">
            <v>0</v>
          </cell>
          <cell r="S25" t="str">
            <v>stroški v €</v>
          </cell>
          <cell r="T25">
            <v>59313.390000000014</v>
          </cell>
          <cell r="U25">
            <v>51754.11</v>
          </cell>
          <cell r="V25">
            <v>53194.71</v>
          </cell>
          <cell r="W25">
            <v>32860.479012754789</v>
          </cell>
          <cell r="X25">
            <v>49280.672253188706</v>
          </cell>
          <cell r="Y25">
            <v>0</v>
          </cell>
          <cell r="Z25">
            <v>0</v>
          </cell>
          <cell r="AA25">
            <v>0</v>
          </cell>
          <cell r="AB25">
            <v>0</v>
          </cell>
          <cell r="AC25">
            <v>0</v>
          </cell>
        </row>
        <row r="26">
          <cell r="A26">
            <v>0</v>
          </cell>
          <cell r="D26">
            <v>0</v>
          </cell>
          <cell r="E26">
            <v>0</v>
          </cell>
          <cell r="F26">
            <v>0</v>
          </cell>
          <cell r="G26">
            <v>0</v>
          </cell>
          <cell r="H26">
            <v>0</v>
          </cell>
          <cell r="I26">
            <v>0</v>
          </cell>
          <cell r="J26">
            <v>0</v>
          </cell>
          <cell r="K26">
            <v>0</v>
          </cell>
          <cell r="L26">
            <v>0</v>
          </cell>
          <cell r="M26">
            <v>0</v>
          </cell>
          <cell r="N26">
            <v>0</v>
          </cell>
          <cell r="O26">
            <v>0</v>
          </cell>
          <cell r="P26">
            <v>0</v>
          </cell>
          <cell r="R26">
            <v>0</v>
          </cell>
          <cell r="S26">
            <v>0</v>
          </cell>
          <cell r="T26">
            <v>0</v>
          </cell>
          <cell r="U26">
            <v>0</v>
          </cell>
          <cell r="V26">
            <v>0</v>
          </cell>
          <cell r="W26">
            <v>0</v>
          </cell>
          <cell r="X26">
            <v>0</v>
          </cell>
          <cell r="Y26">
            <v>0</v>
          </cell>
          <cell r="Z26">
            <v>0</v>
          </cell>
          <cell r="AA26">
            <v>0</v>
          </cell>
          <cell r="AB26">
            <v>0</v>
          </cell>
          <cell r="AC26">
            <v>0</v>
          </cell>
        </row>
        <row r="27">
          <cell r="A27" t="str">
            <v>OB07</v>
          </cell>
          <cell r="B27" t="str">
            <v>OŠ Matije Čopa</v>
          </cell>
          <cell r="C27" t="str">
            <v>Ulica Tuga Vidmarja 1, 4000 Kranj</v>
          </cell>
          <cell r="D27">
            <v>3718</v>
          </cell>
          <cell r="E27">
            <v>1988</v>
          </cell>
          <cell r="F27" t="str">
            <v>raba v kWh</v>
          </cell>
          <cell r="G27">
            <v>166208</v>
          </cell>
          <cell r="H27">
            <v>147780</v>
          </cell>
          <cell r="I27">
            <v>160084</v>
          </cell>
          <cell r="J27">
            <v>172896</v>
          </cell>
          <cell r="K27">
            <v>161742</v>
          </cell>
          <cell r="L27">
            <v>43.502420656266807</v>
          </cell>
          <cell r="M27">
            <v>161742</v>
          </cell>
          <cell r="N27">
            <v>21423.634999999998</v>
          </cell>
          <cell r="O27">
            <v>43.502420656266807</v>
          </cell>
          <cell r="P27">
            <v>132.45560831447614</v>
          </cell>
          <cell r="Q27">
            <v>0</v>
          </cell>
          <cell r="R27" t="str">
            <v>DO</v>
          </cell>
          <cell r="S27" t="str">
            <v>raba v kWh</v>
          </cell>
          <cell r="T27">
            <v>494800</v>
          </cell>
          <cell r="U27">
            <v>416640</v>
          </cell>
          <cell r="V27">
            <v>477885.35721264064</v>
          </cell>
          <cell r="W27">
            <v>511500</v>
          </cell>
          <cell r="X27">
            <v>475206.33930316014</v>
          </cell>
          <cell r="Y27">
            <v>127.81235591800971</v>
          </cell>
          <cell r="Z27">
            <v>501547.41320621828</v>
          </cell>
          <cell r="AA27">
            <v>35292.891344498865</v>
          </cell>
          <cell r="AB27">
            <v>134.89709876444817</v>
          </cell>
          <cell r="AC27">
            <v>70.368005925668484</v>
          </cell>
          <cell r="AD27">
            <v>3009.2844792373098</v>
          </cell>
          <cell r="AE27">
            <v>38302.175823736172</v>
          </cell>
        </row>
        <row r="28">
          <cell r="A28">
            <v>0</v>
          </cell>
          <cell r="B28">
            <v>0</v>
          </cell>
          <cell r="C28">
            <v>0</v>
          </cell>
          <cell r="D28">
            <v>0</v>
          </cell>
          <cell r="E28">
            <v>0</v>
          </cell>
          <cell r="F28" t="str">
            <v>stroški v €</v>
          </cell>
          <cell r="G28">
            <v>21591.200000000004</v>
          </cell>
          <cell r="H28">
            <v>19696.84</v>
          </cell>
          <cell r="I28">
            <v>20366.069999999996</v>
          </cell>
          <cell r="J28">
            <v>24040.43</v>
          </cell>
          <cell r="K28">
            <v>21423.635000000002</v>
          </cell>
          <cell r="L28">
            <v>0</v>
          </cell>
          <cell r="M28">
            <v>0</v>
          </cell>
          <cell r="N28">
            <v>0</v>
          </cell>
          <cell r="O28">
            <v>0</v>
          </cell>
          <cell r="P28">
            <v>0</v>
          </cell>
          <cell r="Q28">
            <v>0</v>
          </cell>
          <cell r="R28">
            <v>0</v>
          </cell>
          <cell r="S28" t="str">
            <v>stroški v €</v>
          </cell>
          <cell r="T28">
            <v>38028.15</v>
          </cell>
          <cell r="U28">
            <v>27601.74</v>
          </cell>
          <cell r="V28">
            <v>37249.979999999996</v>
          </cell>
          <cell r="W28">
            <v>30877.420000000002</v>
          </cell>
          <cell r="X28">
            <v>33439.322500000002</v>
          </cell>
          <cell r="Y28">
            <v>0</v>
          </cell>
          <cell r="Z28">
            <v>0</v>
          </cell>
          <cell r="AA28">
            <v>0</v>
          </cell>
          <cell r="AB28">
            <v>0</v>
          </cell>
          <cell r="AC28">
            <v>0</v>
          </cell>
        </row>
        <row r="29">
          <cell r="A29">
            <v>0</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row>
        <row r="30">
          <cell r="A30" t="str">
            <v>OB08</v>
          </cell>
          <cell r="B30" t="str">
            <v>OŠ Simona Jenka - PŠ Trstenik</v>
          </cell>
          <cell r="C30" t="str">
            <v>Trstenik 39, 4204 Golnik</v>
          </cell>
          <cell r="D30">
            <v>867</v>
          </cell>
          <cell r="E30">
            <v>1958</v>
          </cell>
          <cell r="F30" t="str">
            <v>raba v kWh</v>
          </cell>
          <cell r="G30">
            <v>165706</v>
          </cell>
          <cell r="H30">
            <v>163925</v>
          </cell>
          <cell r="I30">
            <v>165543</v>
          </cell>
          <cell r="J30">
            <v>140991.81</v>
          </cell>
          <cell r="K30">
            <v>159041.45250000001</v>
          </cell>
          <cell r="L30">
            <v>183.43881487889274</v>
          </cell>
          <cell r="M30">
            <v>159041.45250000001</v>
          </cell>
          <cell r="N30">
            <v>19558.5275</v>
          </cell>
          <cell r="O30">
            <v>183.43881487889274</v>
          </cell>
          <cell r="P30">
            <v>122.97754574393112</v>
          </cell>
          <cell r="Q30">
            <v>0</v>
          </cell>
          <cell r="R30" t="str">
            <v>ELKO</v>
          </cell>
          <cell r="S30" t="str">
            <v>raba v kWh</v>
          </cell>
          <cell r="T30">
            <v>115960.32000000001</v>
          </cell>
          <cell r="U30">
            <v>80640</v>
          </cell>
          <cell r="V30">
            <v>121050.72</v>
          </cell>
          <cell r="W30">
            <v>80690.399999999994</v>
          </cell>
          <cell r="X30">
            <v>99585.360000000015</v>
          </cell>
          <cell r="Y30">
            <v>114.86200692041524</v>
          </cell>
          <cell r="Z30">
            <v>105105.45750389542</v>
          </cell>
          <cell r="AA30">
            <v>8020.4826084524593</v>
          </cell>
          <cell r="AB30">
            <v>121.22890138857603</v>
          </cell>
          <cell r="AC30">
            <v>76.308907253033965</v>
          </cell>
          <cell r="AD30">
            <v>630.63274502337254</v>
          </cell>
          <cell r="AE30">
            <v>630.63274502337254</v>
          </cell>
        </row>
        <row r="31">
          <cell r="A31">
            <v>0</v>
          </cell>
          <cell r="B31">
            <v>0</v>
          </cell>
          <cell r="C31">
            <v>0</v>
          </cell>
          <cell r="D31">
            <v>0</v>
          </cell>
          <cell r="E31">
            <v>0</v>
          </cell>
          <cell r="F31" t="str">
            <v>stroški v €</v>
          </cell>
          <cell r="G31">
            <v>19572.97</v>
          </cell>
          <cell r="H31">
            <v>19055.54</v>
          </cell>
          <cell r="I31">
            <v>19139.940000000002</v>
          </cell>
          <cell r="J31">
            <v>20465.66</v>
          </cell>
          <cell r="K31">
            <v>19558.5275</v>
          </cell>
          <cell r="L31">
            <v>0</v>
          </cell>
          <cell r="M31">
            <v>0</v>
          </cell>
          <cell r="N31">
            <v>0</v>
          </cell>
          <cell r="O31">
            <v>0</v>
          </cell>
          <cell r="P31">
            <v>0</v>
          </cell>
          <cell r="Q31">
            <v>0</v>
          </cell>
          <cell r="R31">
            <v>0</v>
          </cell>
          <cell r="S31" t="str">
            <v>stroški v €</v>
          </cell>
          <cell r="T31">
            <v>10951</v>
          </cell>
          <cell r="U31">
            <v>6366.8</v>
          </cell>
          <cell r="V31">
            <v>7967.53</v>
          </cell>
          <cell r="W31">
            <v>5111.67</v>
          </cell>
          <cell r="X31">
            <v>7599.25</v>
          </cell>
          <cell r="Y31">
            <v>0</v>
          </cell>
          <cell r="Z31">
            <v>0</v>
          </cell>
          <cell r="AA31">
            <v>0</v>
          </cell>
          <cell r="AB31">
            <v>0</v>
          </cell>
          <cell r="AC31">
            <v>0</v>
          </cell>
        </row>
        <row r="32">
          <cell r="A32">
            <v>0</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row>
        <row r="33">
          <cell r="A33" t="str">
            <v>OB09</v>
          </cell>
          <cell r="B33" t="str">
            <v>OŠ Staneta Žagarja</v>
          </cell>
          <cell r="C33" t="str">
            <v>Cesta 1. maja 10a, 4000 Kranj</v>
          </cell>
          <cell r="D33">
            <v>2517</v>
          </cell>
          <cell r="E33">
            <v>1961</v>
          </cell>
          <cell r="F33" t="str">
            <v>raba v kWh</v>
          </cell>
          <cell r="G33">
            <v>82785</v>
          </cell>
          <cell r="H33">
            <v>91293</v>
          </cell>
          <cell r="I33">
            <v>96332</v>
          </cell>
          <cell r="J33">
            <v>83548</v>
          </cell>
          <cell r="K33">
            <v>88489.5</v>
          </cell>
          <cell r="L33">
            <v>35.156734207389746</v>
          </cell>
          <cell r="M33">
            <v>88489.5</v>
          </cell>
          <cell r="N33">
            <v>10250.6675</v>
          </cell>
          <cell r="O33">
            <v>35.156734207389746</v>
          </cell>
          <cell r="P33">
            <v>115.84049519999547</v>
          </cell>
          <cell r="Q33">
            <v>0</v>
          </cell>
          <cell r="R33" t="str">
            <v>ZP</v>
          </cell>
          <cell r="S33" t="str">
            <v>raba v kWh</v>
          </cell>
          <cell r="T33">
            <v>332316.31999999995</v>
          </cell>
          <cell r="U33">
            <v>425592.95999999996</v>
          </cell>
          <cell r="V33">
            <v>502793.27999999991</v>
          </cell>
          <cell r="W33">
            <v>525241.60000000009</v>
          </cell>
          <cell r="X33">
            <v>446486.04</v>
          </cell>
          <cell r="Y33">
            <v>177.38817640047674</v>
          </cell>
          <cell r="Z33">
            <v>471235.12435264123</v>
          </cell>
          <cell r="AA33">
            <v>26465.202057100847</v>
          </cell>
          <cell r="AB33">
            <v>187.22094729942043</v>
          </cell>
          <cell r="AC33">
            <v>56.161352771522267</v>
          </cell>
          <cell r="AD33">
            <v>2827.4107461158474</v>
          </cell>
          <cell r="AE33">
            <v>29292.612803216696</v>
          </cell>
        </row>
        <row r="34">
          <cell r="A34">
            <v>0</v>
          </cell>
          <cell r="B34">
            <v>0</v>
          </cell>
          <cell r="C34">
            <v>0</v>
          </cell>
          <cell r="D34">
            <v>0</v>
          </cell>
          <cell r="E34">
            <v>0</v>
          </cell>
          <cell r="F34" t="str">
            <v>stroški v €</v>
          </cell>
          <cell r="G34">
            <v>10649.58</v>
          </cell>
          <cell r="H34">
            <v>9750.4</v>
          </cell>
          <cell r="I34">
            <v>10873.120000000003</v>
          </cell>
          <cell r="J34">
            <v>9729.57</v>
          </cell>
          <cell r="K34">
            <v>10250.6675</v>
          </cell>
          <cell r="L34">
            <v>0</v>
          </cell>
          <cell r="M34">
            <v>0</v>
          </cell>
          <cell r="N34">
            <v>0</v>
          </cell>
          <cell r="O34">
            <v>0</v>
          </cell>
          <cell r="P34">
            <v>0</v>
          </cell>
          <cell r="Q34">
            <v>0</v>
          </cell>
          <cell r="R34">
            <v>0</v>
          </cell>
          <cell r="S34" t="str">
            <v>stroški v €</v>
          </cell>
          <cell r="T34">
            <v>19952.150000000001</v>
          </cell>
          <cell r="U34">
            <v>25846.32</v>
          </cell>
          <cell r="V34">
            <v>29154.75</v>
          </cell>
          <cell r="W34">
            <v>25347.820000000003</v>
          </cell>
          <cell r="X34">
            <v>25075.260000000002</v>
          </cell>
          <cell r="Y34">
            <v>0</v>
          </cell>
          <cell r="Z34">
            <v>0</v>
          </cell>
          <cell r="AA34">
            <v>0</v>
          </cell>
          <cell r="AB34">
            <v>0</v>
          </cell>
          <cell r="AC34">
            <v>0</v>
          </cell>
        </row>
        <row r="35">
          <cell r="A35">
            <v>0</v>
          </cell>
          <cell r="D35">
            <v>0</v>
          </cell>
          <cell r="E35">
            <v>0</v>
          </cell>
          <cell r="F35">
            <v>0</v>
          </cell>
          <cell r="G35">
            <v>0</v>
          </cell>
          <cell r="H35">
            <v>0</v>
          </cell>
          <cell r="I35">
            <v>0</v>
          </cell>
          <cell r="J35">
            <v>0</v>
          </cell>
          <cell r="K35">
            <v>0</v>
          </cell>
          <cell r="L35">
            <v>0</v>
          </cell>
          <cell r="M35">
            <v>0</v>
          </cell>
          <cell r="N35">
            <v>0</v>
          </cell>
          <cell r="O35">
            <v>0</v>
          </cell>
          <cell r="P35">
            <v>0</v>
          </cell>
          <cell r="R35">
            <v>0</v>
          </cell>
          <cell r="S35">
            <v>0</v>
          </cell>
          <cell r="T35">
            <v>0</v>
          </cell>
          <cell r="U35">
            <v>0</v>
          </cell>
          <cell r="V35">
            <v>0</v>
          </cell>
          <cell r="W35">
            <v>0</v>
          </cell>
          <cell r="X35">
            <v>0</v>
          </cell>
          <cell r="Y35">
            <v>0</v>
          </cell>
          <cell r="Z35">
            <v>0</v>
          </cell>
          <cell r="AA35">
            <v>0</v>
          </cell>
          <cell r="AB35">
            <v>0</v>
          </cell>
          <cell r="AC35">
            <v>0</v>
          </cell>
        </row>
        <row r="36">
          <cell r="A36" t="str">
            <v>OB10</v>
          </cell>
          <cell r="B36" t="str">
            <v>VVZ Čebelica</v>
          </cell>
          <cell r="C36" t="str">
            <v>Planina 39, 4000 Kranj</v>
          </cell>
          <cell r="D36">
            <v>697</v>
          </cell>
          <cell r="E36">
            <v>1973</v>
          </cell>
          <cell r="F36" t="str">
            <v>raba v kWh</v>
          </cell>
          <cell r="G36">
            <v>23583</v>
          </cell>
          <cell r="H36">
            <v>16939</v>
          </cell>
          <cell r="I36">
            <v>15826</v>
          </cell>
          <cell r="J36">
            <v>17864</v>
          </cell>
          <cell r="K36">
            <v>18553</v>
          </cell>
          <cell r="L36">
            <v>26.618364418938306</v>
          </cell>
          <cell r="M36">
            <v>18553</v>
          </cell>
          <cell r="N36">
            <v>2123.6400000000003</v>
          </cell>
          <cell r="O36">
            <v>26.618364418938306</v>
          </cell>
          <cell r="P36">
            <v>114.46342909502508</v>
          </cell>
          <cell r="Q36">
            <v>0</v>
          </cell>
          <cell r="R36" t="str">
            <v>DO</v>
          </cell>
          <cell r="S36" t="str">
            <v>raba v kWh</v>
          </cell>
          <cell r="T36">
            <v>106040</v>
          </cell>
          <cell r="U36">
            <v>100190</v>
          </cell>
          <cell r="V36">
            <v>121280</v>
          </cell>
          <cell r="W36">
            <v>112910</v>
          </cell>
          <cell r="X36">
            <v>110105</v>
          </cell>
          <cell r="Y36">
            <v>157.96987087517934</v>
          </cell>
          <cell r="Z36">
            <v>116208.20970538646</v>
          </cell>
          <cell r="AA36">
            <v>7813.995485548995</v>
          </cell>
          <cell r="AB36">
            <v>166.72626930471515</v>
          </cell>
          <cell r="AC36">
            <v>67.24133781390492</v>
          </cell>
          <cell r="AD36">
            <v>697.24925823231877</v>
          </cell>
          <cell r="AE36">
            <v>8511.2447437813134</v>
          </cell>
        </row>
        <row r="37">
          <cell r="A37">
            <v>0</v>
          </cell>
          <cell r="B37">
            <v>0</v>
          </cell>
          <cell r="C37">
            <v>0</v>
          </cell>
          <cell r="D37">
            <v>0</v>
          </cell>
          <cell r="E37">
            <v>0</v>
          </cell>
          <cell r="F37" t="str">
            <v>stroški v €</v>
          </cell>
          <cell r="G37">
            <v>2984.6100000000006</v>
          </cell>
          <cell r="H37">
            <v>1517.0800000000002</v>
          </cell>
          <cell r="I37">
            <v>1892.87</v>
          </cell>
          <cell r="J37">
            <v>2100</v>
          </cell>
          <cell r="K37">
            <v>2123.6400000000003</v>
          </cell>
          <cell r="L37">
            <v>0</v>
          </cell>
          <cell r="M37">
            <v>0</v>
          </cell>
          <cell r="N37">
            <v>0</v>
          </cell>
          <cell r="O37">
            <v>0</v>
          </cell>
          <cell r="P37">
            <v>0</v>
          </cell>
          <cell r="Q37">
            <v>0</v>
          </cell>
          <cell r="R37">
            <v>0</v>
          </cell>
          <cell r="S37" t="str">
            <v>stroški v €</v>
          </cell>
          <cell r="T37">
            <v>8695.7200000000012</v>
          </cell>
          <cell r="U37">
            <v>7283.380000000001</v>
          </cell>
          <cell r="V37">
            <v>7291.7600000000011</v>
          </cell>
          <cell r="W37">
            <v>6343.5700000000006</v>
          </cell>
          <cell r="X37">
            <v>7403.607500000001</v>
          </cell>
          <cell r="Y37">
            <v>0</v>
          </cell>
          <cell r="Z37">
            <v>0</v>
          </cell>
          <cell r="AA37">
            <v>0</v>
          </cell>
          <cell r="AB37">
            <v>0</v>
          </cell>
          <cell r="AC37">
            <v>0</v>
          </cell>
        </row>
        <row r="38">
          <cell r="A38">
            <v>0</v>
          </cell>
          <cell r="D38">
            <v>0</v>
          </cell>
          <cell r="E38">
            <v>0</v>
          </cell>
          <cell r="F38">
            <v>0</v>
          </cell>
          <cell r="G38">
            <v>0</v>
          </cell>
          <cell r="H38">
            <v>0</v>
          </cell>
          <cell r="I38">
            <v>0</v>
          </cell>
          <cell r="J38">
            <v>0</v>
          </cell>
          <cell r="K38">
            <v>0</v>
          </cell>
          <cell r="L38">
            <v>0</v>
          </cell>
          <cell r="M38">
            <v>0</v>
          </cell>
          <cell r="N38">
            <v>0</v>
          </cell>
          <cell r="O38">
            <v>0</v>
          </cell>
          <cell r="P38">
            <v>0</v>
          </cell>
          <cell r="R38">
            <v>0</v>
          </cell>
          <cell r="S38">
            <v>0</v>
          </cell>
          <cell r="T38">
            <v>0</v>
          </cell>
          <cell r="U38">
            <v>0</v>
          </cell>
          <cell r="V38">
            <v>0</v>
          </cell>
          <cell r="W38">
            <v>0</v>
          </cell>
          <cell r="X38">
            <v>0</v>
          </cell>
          <cell r="Y38">
            <v>0</v>
          </cell>
          <cell r="Z38">
            <v>0</v>
          </cell>
          <cell r="AA38">
            <v>0</v>
          </cell>
          <cell r="AB38">
            <v>0</v>
          </cell>
          <cell r="AC38">
            <v>0</v>
          </cell>
        </row>
        <row r="39">
          <cell r="A39" t="str">
            <v>OB11</v>
          </cell>
          <cell r="B39" t="str">
            <v>VVZ Janina</v>
          </cell>
          <cell r="C39" t="str">
            <v>Kebetova 9, 4000 Kranj</v>
          </cell>
          <cell r="D39">
            <v>1671.3</v>
          </cell>
          <cell r="E39">
            <v>1969</v>
          </cell>
          <cell r="F39" t="str">
            <v>raba v kWh</v>
          </cell>
          <cell r="G39">
            <v>76854</v>
          </cell>
          <cell r="H39">
            <v>74838</v>
          </cell>
          <cell r="I39">
            <v>77551</v>
          </cell>
          <cell r="J39">
            <v>92981</v>
          </cell>
          <cell r="K39">
            <v>80556</v>
          </cell>
          <cell r="L39">
            <v>48.199605097828041</v>
          </cell>
          <cell r="M39">
            <v>80556</v>
          </cell>
          <cell r="N39">
            <v>8732.1424999999981</v>
          </cell>
          <cell r="O39">
            <v>48.199605097828041</v>
          </cell>
          <cell r="P39">
            <v>108.39841228462186</v>
          </cell>
          <cell r="Q39">
            <v>0</v>
          </cell>
          <cell r="R39" t="str">
            <v>ZP</v>
          </cell>
          <cell r="S39" t="str">
            <v>raba v kWh</v>
          </cell>
          <cell r="T39">
            <v>325406.24</v>
          </cell>
          <cell r="U39">
            <v>312161.92000000004</v>
          </cell>
          <cell r="V39">
            <v>321233.76</v>
          </cell>
          <cell r="W39">
            <v>288127.68</v>
          </cell>
          <cell r="X39">
            <v>311732.40000000002</v>
          </cell>
          <cell r="Y39">
            <v>186.52091186501528</v>
          </cell>
          <cell r="Z39">
            <v>329011.9804837511</v>
          </cell>
          <cell r="AA39">
            <v>17625.053624077413</v>
          </cell>
          <cell r="AB39">
            <v>196.85991771899188</v>
          </cell>
          <cell r="AC39">
            <v>53.569640832419047</v>
          </cell>
          <cell r="AD39">
            <v>1974.0718829025068</v>
          </cell>
          <cell r="AE39">
            <v>1974.0718829025068</v>
          </cell>
        </row>
        <row r="40">
          <cell r="A40">
            <v>0</v>
          </cell>
          <cell r="B40">
            <v>0</v>
          </cell>
          <cell r="C40">
            <v>0</v>
          </cell>
          <cell r="D40">
            <v>0</v>
          </cell>
          <cell r="E40">
            <v>0</v>
          </cell>
          <cell r="F40" t="str">
            <v>stroški v €</v>
          </cell>
          <cell r="G40">
            <v>11026.789999999999</v>
          </cell>
          <cell r="H40">
            <v>10096.799999999999</v>
          </cell>
          <cell r="I40">
            <v>6288.99</v>
          </cell>
          <cell r="J40">
            <v>7515.9900000000016</v>
          </cell>
          <cell r="K40">
            <v>8732.1424999999981</v>
          </cell>
          <cell r="L40">
            <v>0</v>
          </cell>
          <cell r="M40">
            <v>0</v>
          </cell>
          <cell r="N40">
            <v>0</v>
          </cell>
          <cell r="O40">
            <v>0</v>
          </cell>
          <cell r="P40">
            <v>0</v>
          </cell>
          <cell r="Q40">
            <v>0</v>
          </cell>
          <cell r="R40">
            <v>0</v>
          </cell>
          <cell r="S40" t="str">
            <v>stroški v €</v>
          </cell>
          <cell r="T40">
            <v>20475.12</v>
          </cell>
          <cell r="U40">
            <v>18159.41</v>
          </cell>
          <cell r="V40">
            <v>13147.860815311957</v>
          </cell>
          <cell r="W40">
            <v>15015.179999999998</v>
          </cell>
          <cell r="X40">
            <v>16699.392703827987</v>
          </cell>
          <cell r="Y40">
            <v>0</v>
          </cell>
          <cell r="Z40">
            <v>0</v>
          </cell>
          <cell r="AA40">
            <v>0</v>
          </cell>
          <cell r="AB40">
            <v>0</v>
          </cell>
          <cell r="AC40">
            <v>0</v>
          </cell>
        </row>
        <row r="41">
          <cell r="A41">
            <v>0</v>
          </cell>
          <cell r="D41">
            <v>0</v>
          </cell>
          <cell r="E41">
            <v>0</v>
          </cell>
          <cell r="F41">
            <v>0</v>
          </cell>
          <cell r="G41">
            <v>0</v>
          </cell>
          <cell r="H41">
            <v>0</v>
          </cell>
          <cell r="I41">
            <v>0</v>
          </cell>
          <cell r="J41">
            <v>0</v>
          </cell>
          <cell r="K41">
            <v>0</v>
          </cell>
          <cell r="L41">
            <v>0</v>
          </cell>
          <cell r="M41">
            <v>0</v>
          </cell>
          <cell r="N41">
            <v>0</v>
          </cell>
          <cell r="O41">
            <v>0</v>
          </cell>
          <cell r="P41">
            <v>0</v>
          </cell>
          <cell r="R41">
            <v>0</v>
          </cell>
          <cell r="S41">
            <v>0</v>
          </cell>
          <cell r="T41">
            <v>0</v>
          </cell>
          <cell r="U41">
            <v>0</v>
          </cell>
          <cell r="V41">
            <v>0</v>
          </cell>
          <cell r="W41">
            <v>0</v>
          </cell>
          <cell r="X41">
            <v>0</v>
          </cell>
          <cell r="Y41">
            <v>0</v>
          </cell>
          <cell r="Z41">
            <v>0</v>
          </cell>
          <cell r="AA41">
            <v>0</v>
          </cell>
          <cell r="AB41">
            <v>0</v>
          </cell>
          <cell r="AC41">
            <v>0</v>
          </cell>
        </row>
        <row r="42">
          <cell r="A42" t="str">
            <v>OB12</v>
          </cell>
          <cell r="B42" t="str">
            <v>VVZ Najdihojca</v>
          </cell>
          <cell r="C42" t="str">
            <v>Ulice Nikole Tesle 4, 4000 Kranj</v>
          </cell>
          <cell r="D42">
            <v>1776</v>
          </cell>
          <cell r="E42">
            <v>1978</v>
          </cell>
          <cell r="F42" t="str">
            <v>raba v kWh</v>
          </cell>
          <cell r="G42">
            <v>168359</v>
          </cell>
          <cell r="H42">
            <v>165762</v>
          </cell>
          <cell r="I42">
            <v>160636</v>
          </cell>
          <cell r="J42">
            <v>153958</v>
          </cell>
          <cell r="K42">
            <v>162178.75</v>
          </cell>
          <cell r="L42">
            <v>91.316863738738732</v>
          </cell>
          <cell r="M42">
            <v>162178.75</v>
          </cell>
          <cell r="N42">
            <v>20412.2</v>
          </cell>
          <cell r="O42">
            <v>91.316863738738732</v>
          </cell>
          <cell r="P42">
            <v>125.8623586628951</v>
          </cell>
          <cell r="Q42">
            <v>0</v>
          </cell>
          <cell r="R42" t="str">
            <v>DO</v>
          </cell>
          <cell r="S42" t="str">
            <v>raba v kWh</v>
          </cell>
          <cell r="T42">
            <v>237964</v>
          </cell>
          <cell r="U42">
            <v>195000</v>
          </cell>
          <cell r="V42">
            <v>223810</v>
          </cell>
          <cell r="W42">
            <v>225830</v>
          </cell>
          <cell r="X42">
            <v>220651</v>
          </cell>
          <cell r="Y42">
            <v>124.24042792792793</v>
          </cell>
          <cell r="Z42">
            <v>232881.8643994662</v>
          </cell>
          <cell r="AA42">
            <v>23846.760005034073</v>
          </cell>
          <cell r="AB42">
            <v>131.12717590060035</v>
          </cell>
          <cell r="AC42">
            <v>102.39852753896423</v>
          </cell>
          <cell r="AD42">
            <v>1397.2911863967972</v>
          </cell>
          <cell r="AE42">
            <v>25244.05119143087</v>
          </cell>
        </row>
        <row r="43">
          <cell r="A43">
            <v>0</v>
          </cell>
          <cell r="B43">
            <v>0</v>
          </cell>
          <cell r="C43">
            <v>0</v>
          </cell>
          <cell r="D43">
            <v>0</v>
          </cell>
          <cell r="E43">
            <v>0</v>
          </cell>
          <cell r="F43" t="str">
            <v>stroški v €</v>
          </cell>
          <cell r="G43">
            <v>26628.29</v>
          </cell>
          <cell r="H43">
            <v>24326.2</v>
          </cell>
          <cell r="I43">
            <v>15094.480000000003</v>
          </cell>
          <cell r="J43">
            <v>15599.829999999998</v>
          </cell>
          <cell r="K43">
            <v>20412.2</v>
          </cell>
          <cell r="L43">
            <v>0</v>
          </cell>
          <cell r="M43">
            <v>0</v>
          </cell>
          <cell r="N43">
            <v>0</v>
          </cell>
          <cell r="O43">
            <v>0</v>
          </cell>
          <cell r="P43">
            <v>0</v>
          </cell>
          <cell r="Q43">
            <v>0</v>
          </cell>
          <cell r="R43">
            <v>0</v>
          </cell>
          <cell r="S43" t="str">
            <v>stroški v €</v>
          </cell>
          <cell r="T43">
            <v>28183.95</v>
          </cell>
          <cell r="U43">
            <v>21727.01</v>
          </cell>
          <cell r="V43">
            <v>21110.1</v>
          </cell>
          <cell r="W43">
            <v>19356.289999999997</v>
          </cell>
          <cell r="X43">
            <v>22594.337499999998</v>
          </cell>
          <cell r="Y43">
            <v>0</v>
          </cell>
          <cell r="Z43">
            <v>0</v>
          </cell>
          <cell r="AA43">
            <v>0</v>
          </cell>
          <cell r="AB43">
            <v>0</v>
          </cell>
          <cell r="AC43">
            <v>0</v>
          </cell>
        </row>
        <row r="44">
          <cell r="A44">
            <v>0</v>
          </cell>
          <cell r="D44">
            <v>0</v>
          </cell>
          <cell r="E44">
            <v>0</v>
          </cell>
          <cell r="F44">
            <v>0</v>
          </cell>
          <cell r="G44">
            <v>0</v>
          </cell>
          <cell r="H44">
            <v>0</v>
          </cell>
          <cell r="I44">
            <v>0</v>
          </cell>
          <cell r="J44">
            <v>0</v>
          </cell>
          <cell r="K44">
            <v>0</v>
          </cell>
          <cell r="L44">
            <v>0</v>
          </cell>
          <cell r="M44">
            <v>0</v>
          </cell>
          <cell r="N44">
            <v>0</v>
          </cell>
          <cell r="O44">
            <v>0</v>
          </cell>
          <cell r="P44">
            <v>0</v>
          </cell>
          <cell r="R44">
            <v>0</v>
          </cell>
          <cell r="S44">
            <v>0</v>
          </cell>
          <cell r="T44">
            <v>0</v>
          </cell>
          <cell r="U44">
            <v>0</v>
          </cell>
          <cell r="V44">
            <v>0</v>
          </cell>
          <cell r="W44">
            <v>0</v>
          </cell>
          <cell r="X44">
            <v>0</v>
          </cell>
          <cell r="Y44">
            <v>0</v>
          </cell>
          <cell r="Z44">
            <v>0</v>
          </cell>
          <cell r="AA44">
            <v>0</v>
          </cell>
          <cell r="AB44">
            <v>0</v>
          </cell>
          <cell r="AC44">
            <v>0</v>
          </cell>
        </row>
        <row r="45">
          <cell r="A45" t="str">
            <v>OB13</v>
          </cell>
          <cell r="B45" t="str">
            <v>VVZ Sonček</v>
          </cell>
          <cell r="C45" t="str">
            <v>Cesta 1. maja 17, 4000 Kranj</v>
          </cell>
          <cell r="D45">
            <v>364.5</v>
          </cell>
          <cell r="E45">
            <v>1950</v>
          </cell>
          <cell r="F45" t="str">
            <v>raba v kWh</v>
          </cell>
          <cell r="G45">
            <v>12200</v>
          </cell>
          <cell r="H45">
            <v>12151</v>
          </cell>
          <cell r="I45">
            <v>11371</v>
          </cell>
          <cell r="J45">
            <v>18212</v>
          </cell>
          <cell r="K45">
            <v>13483.5</v>
          </cell>
          <cell r="L45">
            <v>36.991769547325106</v>
          </cell>
          <cell r="M45">
            <v>13483.5</v>
          </cell>
          <cell r="N45">
            <v>1407.39</v>
          </cell>
          <cell r="O45">
            <v>36.991769547325106</v>
          </cell>
          <cell r="P45">
            <v>104.3786850595172</v>
          </cell>
          <cell r="Q45">
            <v>0</v>
          </cell>
          <cell r="R45" t="str">
            <v>ELKO</v>
          </cell>
          <cell r="S45" t="str">
            <v>raba v kWh</v>
          </cell>
          <cell r="T45">
            <v>68544</v>
          </cell>
          <cell r="U45">
            <v>59340.959999999999</v>
          </cell>
          <cell r="V45">
            <v>23022.720000000001</v>
          </cell>
          <cell r="W45">
            <v>70590.240000000005</v>
          </cell>
          <cell r="X45">
            <v>55374.479999999996</v>
          </cell>
          <cell r="Y45">
            <v>151.91901234567899</v>
          </cell>
          <cell r="Z45">
            <v>58443.932465979997</v>
          </cell>
          <cell r="AA45">
            <v>4284.041165828985</v>
          </cell>
          <cell r="AB45">
            <v>160.34000676537721</v>
          </cell>
          <cell r="AC45">
            <v>73.301726715989034</v>
          </cell>
          <cell r="AD45">
            <v>350.66359479587999</v>
          </cell>
          <cell r="AE45">
            <v>4634.7047606248652</v>
          </cell>
        </row>
        <row r="46">
          <cell r="A46">
            <v>0</v>
          </cell>
          <cell r="B46">
            <v>0</v>
          </cell>
          <cell r="C46">
            <v>0</v>
          </cell>
          <cell r="D46">
            <v>0</v>
          </cell>
          <cell r="E46">
            <v>0</v>
          </cell>
          <cell r="F46" t="str">
            <v>stroški v €</v>
          </cell>
          <cell r="G46">
            <v>1760.63</v>
          </cell>
          <cell r="H46">
            <v>1589.6499999999996</v>
          </cell>
          <cell r="I46">
            <v>984.19000000000017</v>
          </cell>
          <cell r="J46">
            <v>1295.0900000000001</v>
          </cell>
          <cell r="K46">
            <v>1407.39</v>
          </cell>
          <cell r="L46">
            <v>0</v>
          </cell>
          <cell r="M46">
            <v>0</v>
          </cell>
          <cell r="N46">
            <v>0</v>
          </cell>
          <cell r="O46">
            <v>0</v>
          </cell>
          <cell r="P46">
            <v>0</v>
          </cell>
          <cell r="Q46">
            <v>0</v>
          </cell>
          <cell r="R46">
            <v>0</v>
          </cell>
          <cell r="S46" t="str">
            <v>stroški v €</v>
          </cell>
          <cell r="T46">
            <v>5580.71</v>
          </cell>
          <cell r="U46">
            <v>4734.76</v>
          </cell>
          <cell r="V46">
            <v>1340.62</v>
          </cell>
          <cell r="W46">
            <v>4580.09</v>
          </cell>
          <cell r="X46">
            <v>4059.0450000000001</v>
          </cell>
          <cell r="Y46">
            <v>0</v>
          </cell>
          <cell r="Z46">
            <v>0</v>
          </cell>
          <cell r="AA46">
            <v>0</v>
          </cell>
          <cell r="AB46">
            <v>0</v>
          </cell>
          <cell r="AC46">
            <v>0</v>
          </cell>
        </row>
        <row r="47">
          <cell r="A47">
            <v>0</v>
          </cell>
          <cell r="D47">
            <v>0</v>
          </cell>
          <cell r="E47">
            <v>0</v>
          </cell>
          <cell r="F47">
            <v>0</v>
          </cell>
          <cell r="G47">
            <v>0</v>
          </cell>
          <cell r="H47">
            <v>0</v>
          </cell>
          <cell r="I47">
            <v>0</v>
          </cell>
          <cell r="J47">
            <v>0</v>
          </cell>
          <cell r="K47">
            <v>0</v>
          </cell>
          <cell r="L47">
            <v>0</v>
          </cell>
          <cell r="M47">
            <v>0</v>
          </cell>
          <cell r="N47">
            <v>0</v>
          </cell>
          <cell r="O47">
            <v>0</v>
          </cell>
          <cell r="P47">
            <v>0</v>
          </cell>
          <cell r="R47">
            <v>0</v>
          </cell>
          <cell r="S47">
            <v>0</v>
          </cell>
          <cell r="T47">
            <v>0</v>
          </cell>
          <cell r="U47">
            <v>0</v>
          </cell>
          <cell r="V47">
            <v>0</v>
          </cell>
          <cell r="W47">
            <v>0</v>
          </cell>
          <cell r="X47">
            <v>0</v>
          </cell>
          <cell r="Y47">
            <v>0</v>
          </cell>
          <cell r="Z47">
            <v>0</v>
          </cell>
          <cell r="AA47">
            <v>0</v>
          </cell>
          <cell r="AB47">
            <v>0</v>
          </cell>
          <cell r="AC47">
            <v>0</v>
          </cell>
        </row>
        <row r="48">
          <cell r="A48" t="str">
            <v>OB14</v>
          </cell>
          <cell r="B48" t="str">
            <v>OŠ Orehek</v>
          </cell>
          <cell r="C48" t="str">
            <v>Zasavska cesta 53a, 4000 Kranj</v>
          </cell>
          <cell r="D48">
            <v>4449</v>
          </cell>
          <cell r="E48">
            <v>1988</v>
          </cell>
          <cell r="F48" t="str">
            <v>raba v kWh</v>
          </cell>
          <cell r="G48">
            <v>170919</v>
          </cell>
          <cell r="H48">
            <v>178746</v>
          </cell>
          <cell r="I48">
            <v>149834</v>
          </cell>
          <cell r="J48">
            <v>194998</v>
          </cell>
          <cell r="K48">
            <v>173624.25</v>
          </cell>
          <cell r="L48">
            <v>39.025455158462577</v>
          </cell>
          <cell r="M48">
            <v>173624.25</v>
          </cell>
          <cell r="N48">
            <v>18507.134999999995</v>
          </cell>
          <cell r="O48">
            <v>39.025455158462577</v>
          </cell>
          <cell r="P48">
            <v>106.5930306394412</v>
          </cell>
          <cell r="Q48">
            <v>0</v>
          </cell>
          <cell r="R48" t="str">
            <v>ZP</v>
          </cell>
          <cell r="S48" t="str">
            <v>raba v kWh</v>
          </cell>
          <cell r="T48">
            <v>483412.95999999996</v>
          </cell>
          <cell r="U48">
            <v>510606.29599999997</v>
          </cell>
          <cell r="V48">
            <v>611221.12</v>
          </cell>
          <cell r="W48">
            <v>348864.63999999996</v>
          </cell>
          <cell r="X48">
            <v>535080.12533333327</v>
          </cell>
          <cell r="Y48">
            <v>120.26975170450287</v>
          </cell>
          <cell r="Z48">
            <v>564740.05189519515</v>
          </cell>
          <cell r="AA48">
            <v>32278.497386593368</v>
          </cell>
          <cell r="AB48">
            <v>126.93640186450779</v>
          </cell>
          <cell r="AC48">
            <v>57.156380671551226</v>
          </cell>
          <cell r="AD48">
            <v>3388.440311371171</v>
          </cell>
          <cell r="AE48">
            <v>3388.440311371171</v>
          </cell>
        </row>
        <row r="49">
          <cell r="A49">
            <v>0</v>
          </cell>
          <cell r="B49">
            <v>0</v>
          </cell>
          <cell r="C49">
            <v>0</v>
          </cell>
          <cell r="D49">
            <v>0</v>
          </cell>
          <cell r="E49">
            <v>0</v>
          </cell>
          <cell r="F49" t="str">
            <v>stroški v €</v>
          </cell>
          <cell r="G49">
            <v>19859.75</v>
          </cell>
          <cell r="H49">
            <v>19094.789999999997</v>
          </cell>
          <cell r="I49">
            <v>16857.309999999998</v>
          </cell>
          <cell r="J49">
            <v>18216.690000000002</v>
          </cell>
          <cell r="K49">
            <v>18507.134999999998</v>
          </cell>
          <cell r="L49">
            <v>0</v>
          </cell>
          <cell r="M49">
            <v>0</v>
          </cell>
          <cell r="N49">
            <v>0</v>
          </cell>
          <cell r="O49">
            <v>0</v>
          </cell>
          <cell r="P49">
            <v>0</v>
          </cell>
          <cell r="Q49">
            <v>0</v>
          </cell>
          <cell r="R49">
            <v>0</v>
          </cell>
          <cell r="S49" t="str">
            <v>stroški v €</v>
          </cell>
          <cell r="T49">
            <v>30195.02</v>
          </cell>
          <cell r="U49">
            <v>28817.15</v>
          </cell>
          <cell r="V49">
            <v>32737.560000000005</v>
          </cell>
          <cell r="W49">
            <v>17183.91</v>
          </cell>
          <cell r="X49">
            <v>30583.243333333336</v>
          </cell>
          <cell r="Y49">
            <v>0</v>
          </cell>
          <cell r="Z49">
            <v>0</v>
          </cell>
          <cell r="AA49">
            <v>0</v>
          </cell>
          <cell r="AB49">
            <v>0</v>
          </cell>
          <cell r="AC49">
            <v>0</v>
          </cell>
        </row>
        <row r="50">
          <cell r="A50">
            <v>0</v>
          </cell>
          <cell r="D50">
            <v>0</v>
          </cell>
          <cell r="E50">
            <v>0</v>
          </cell>
          <cell r="F50">
            <v>0</v>
          </cell>
          <cell r="G50">
            <v>0</v>
          </cell>
          <cell r="H50">
            <v>0</v>
          </cell>
          <cell r="I50">
            <v>0</v>
          </cell>
          <cell r="J50">
            <v>0</v>
          </cell>
          <cell r="K50">
            <v>0</v>
          </cell>
          <cell r="L50">
            <v>0</v>
          </cell>
          <cell r="M50">
            <v>0</v>
          </cell>
          <cell r="N50">
            <v>0</v>
          </cell>
          <cell r="O50">
            <v>0</v>
          </cell>
          <cell r="P50">
            <v>0</v>
          </cell>
          <cell r="R50">
            <v>0</v>
          </cell>
          <cell r="S50">
            <v>0</v>
          </cell>
          <cell r="T50">
            <v>0</v>
          </cell>
          <cell r="U50">
            <v>0</v>
          </cell>
          <cell r="V50">
            <v>0</v>
          </cell>
          <cell r="W50">
            <v>0</v>
          </cell>
          <cell r="X50">
            <v>0</v>
          </cell>
          <cell r="Y50">
            <v>0</v>
          </cell>
          <cell r="Z50">
            <v>0</v>
          </cell>
          <cell r="AA50">
            <v>0</v>
          </cell>
          <cell r="AB50">
            <v>0</v>
          </cell>
          <cell r="AC50">
            <v>0</v>
          </cell>
        </row>
        <row r="51">
          <cell r="A51" t="str">
            <v>OB15</v>
          </cell>
          <cell r="B51" t="str">
            <v>OŠ Simona Jenka</v>
          </cell>
          <cell r="C51" t="str">
            <v>Ulica XXXI. divizije 7A, 4000 Kranj</v>
          </cell>
          <cell r="D51">
            <v>3282</v>
          </cell>
          <cell r="E51">
            <v>1974</v>
          </cell>
          <cell r="F51" t="str">
            <v>raba v kWh</v>
          </cell>
          <cell r="G51">
            <v>147988.01</v>
          </cell>
          <cell r="H51">
            <v>144516.07</v>
          </cell>
          <cell r="I51">
            <v>138957.32999999999</v>
          </cell>
          <cell r="J51">
            <v>145102.70000000001</v>
          </cell>
          <cell r="K51">
            <v>144141.02750000003</v>
          </cell>
          <cell r="L51">
            <v>43.918655545399155</v>
          </cell>
          <cell r="M51">
            <v>144141.02750000003</v>
          </cell>
          <cell r="N51">
            <v>16672.425000000003</v>
          </cell>
          <cell r="O51">
            <v>43.918655545399155</v>
          </cell>
          <cell r="P51">
            <v>115.66744936655873</v>
          </cell>
          <cell r="Q51">
            <v>0</v>
          </cell>
          <cell r="R51" t="str">
            <v>ZP</v>
          </cell>
          <cell r="S51" t="str">
            <v>raba v kWh</v>
          </cell>
          <cell r="T51">
            <v>529968.47999999986</v>
          </cell>
          <cell r="U51">
            <v>433044.95999999996</v>
          </cell>
          <cell r="V51">
            <v>502724.16000000003</v>
          </cell>
          <cell r="W51">
            <v>319207.84000000008</v>
          </cell>
          <cell r="X51">
            <v>446236.36</v>
          </cell>
          <cell r="Y51">
            <v>135.96476538695916</v>
          </cell>
          <cell r="Z51">
            <v>470971.60438716062</v>
          </cell>
          <cell r="AA51">
            <v>41033.379538382855</v>
          </cell>
          <cell r="AB51">
            <v>143.50140292113363</v>
          </cell>
          <cell r="AC51">
            <v>87.124954362750728</v>
          </cell>
          <cell r="AD51">
            <v>2825.8296263229636</v>
          </cell>
          <cell r="AE51">
            <v>43859.209164705819</v>
          </cell>
        </row>
        <row r="52">
          <cell r="A52">
            <v>0</v>
          </cell>
          <cell r="B52">
            <v>0</v>
          </cell>
          <cell r="C52">
            <v>0</v>
          </cell>
          <cell r="D52">
            <v>0</v>
          </cell>
          <cell r="E52">
            <v>0</v>
          </cell>
          <cell r="F52" t="str">
            <v>stroški v €</v>
          </cell>
          <cell r="G52">
            <v>17677.660000000003</v>
          </cell>
          <cell r="H52">
            <v>16403.059999999998</v>
          </cell>
          <cell r="I52">
            <v>15641.260000000002</v>
          </cell>
          <cell r="J52">
            <v>16967.72</v>
          </cell>
          <cell r="K52">
            <v>16672.425000000003</v>
          </cell>
          <cell r="L52">
            <v>0</v>
          </cell>
          <cell r="M52">
            <v>0</v>
          </cell>
          <cell r="N52">
            <v>0</v>
          </cell>
          <cell r="O52">
            <v>0</v>
          </cell>
          <cell r="P52">
            <v>0</v>
          </cell>
          <cell r="Q52">
            <v>0</v>
          </cell>
          <cell r="R52">
            <v>0</v>
          </cell>
          <cell r="S52" t="str">
            <v>stroški v €</v>
          </cell>
          <cell r="T52">
            <v>40460.99</v>
          </cell>
          <cell r="U52">
            <v>38102.58</v>
          </cell>
          <cell r="V52">
            <v>37043.620000000003</v>
          </cell>
          <cell r="W52">
            <v>39906.1</v>
          </cell>
          <cell r="X52">
            <v>38878.322500000002</v>
          </cell>
          <cell r="Y52">
            <v>0</v>
          </cell>
          <cell r="Z52">
            <v>0</v>
          </cell>
          <cell r="AA52">
            <v>0</v>
          </cell>
          <cell r="AB52">
            <v>0</v>
          </cell>
          <cell r="AC52">
            <v>0</v>
          </cell>
        </row>
        <row r="53">
          <cell r="A53">
            <v>0</v>
          </cell>
          <cell r="D53">
            <v>0</v>
          </cell>
          <cell r="E53">
            <v>0</v>
          </cell>
          <cell r="F53">
            <v>0</v>
          </cell>
          <cell r="G53">
            <v>0</v>
          </cell>
          <cell r="H53">
            <v>0</v>
          </cell>
          <cell r="I53">
            <v>0</v>
          </cell>
          <cell r="J53">
            <v>0</v>
          </cell>
          <cell r="K53">
            <v>0</v>
          </cell>
          <cell r="L53">
            <v>0</v>
          </cell>
          <cell r="M53">
            <v>0</v>
          </cell>
          <cell r="N53">
            <v>0</v>
          </cell>
          <cell r="O53">
            <v>0</v>
          </cell>
          <cell r="P53">
            <v>0</v>
          </cell>
          <cell r="R53">
            <v>0</v>
          </cell>
          <cell r="S53">
            <v>0</v>
          </cell>
          <cell r="T53">
            <v>0</v>
          </cell>
          <cell r="U53">
            <v>0</v>
          </cell>
          <cell r="V53">
            <v>0</v>
          </cell>
          <cell r="W53">
            <v>0</v>
          </cell>
          <cell r="X53">
            <v>0</v>
          </cell>
          <cell r="Y53">
            <v>0</v>
          </cell>
          <cell r="Z53">
            <v>0</v>
          </cell>
          <cell r="AA53">
            <v>0</v>
          </cell>
          <cell r="AB53">
            <v>0</v>
          </cell>
          <cell r="AC53">
            <v>0</v>
          </cell>
        </row>
        <row r="54">
          <cell r="A54" t="str">
            <v>OB16</v>
          </cell>
          <cell r="B54" t="str">
            <v>OŠ Simona Jenka - Center</v>
          </cell>
          <cell r="C54" t="str">
            <v>Komenskega ulica 2, 4000 Kranj</v>
          </cell>
          <cell r="D54">
            <v>2138</v>
          </cell>
          <cell r="E54">
            <v>1938</v>
          </cell>
          <cell r="F54" t="str">
            <v>raba v kWh</v>
          </cell>
          <cell r="G54">
            <v>39338</v>
          </cell>
          <cell r="H54">
            <v>42725</v>
          </cell>
          <cell r="I54">
            <v>39134</v>
          </cell>
          <cell r="J54">
            <v>44751</v>
          </cell>
          <cell r="K54">
            <v>41487</v>
          </cell>
          <cell r="L54">
            <v>19.404583723105706</v>
          </cell>
          <cell r="M54">
            <v>41487</v>
          </cell>
          <cell r="N54">
            <v>5367.9274999999998</v>
          </cell>
          <cell r="O54">
            <v>19.404583723105706</v>
          </cell>
          <cell r="P54">
            <v>129.38818184009449</v>
          </cell>
          <cell r="Q54">
            <v>0</v>
          </cell>
          <cell r="R54" t="str">
            <v>ZP</v>
          </cell>
          <cell r="S54" t="str">
            <v>raba v kWh</v>
          </cell>
          <cell r="T54">
            <v>457924.32</v>
          </cell>
          <cell r="U54">
            <v>228846.24</v>
          </cell>
          <cell r="V54">
            <v>241920</v>
          </cell>
          <cell r="W54">
            <v>483436.79999999999</v>
          </cell>
          <cell r="X54">
            <v>353031.84</v>
          </cell>
          <cell r="Y54">
            <v>165.12246959775493</v>
          </cell>
          <cell r="Z54">
            <v>372600.68203440751</v>
          </cell>
          <cell r="AA54">
            <v>26623.226435631692</v>
          </cell>
          <cell r="AB54">
            <v>174.27534239214569</v>
          </cell>
          <cell r="AC54">
            <v>71.452436131539855</v>
          </cell>
          <cell r="AD54">
            <v>2235.6040922064449</v>
          </cell>
          <cell r="AE54">
            <v>28858.830527838138</v>
          </cell>
        </row>
        <row r="55">
          <cell r="A55">
            <v>0</v>
          </cell>
          <cell r="B55">
            <v>0</v>
          </cell>
          <cell r="C55">
            <v>0</v>
          </cell>
          <cell r="D55">
            <v>0</v>
          </cell>
          <cell r="E55">
            <v>0</v>
          </cell>
          <cell r="F55" t="str">
            <v>stroški v €</v>
          </cell>
          <cell r="G55">
            <v>5358.98</v>
          </cell>
          <cell r="H55">
            <v>5361.97</v>
          </cell>
          <cell r="I55">
            <v>5008.0399999999991</v>
          </cell>
          <cell r="J55">
            <v>5742.72</v>
          </cell>
          <cell r="K55">
            <v>5367.9274999999998</v>
          </cell>
          <cell r="L55">
            <v>0</v>
          </cell>
          <cell r="M55">
            <v>0</v>
          </cell>
          <cell r="N55">
            <v>0</v>
          </cell>
          <cell r="O55">
            <v>0</v>
          </cell>
          <cell r="P55">
            <v>0</v>
          </cell>
          <cell r="Q55">
            <v>0</v>
          </cell>
          <cell r="R55">
            <v>0</v>
          </cell>
          <cell r="S55" t="str">
            <v>stroški v €</v>
          </cell>
          <cell r="T55">
            <v>37505.199999999997</v>
          </cell>
          <cell r="U55">
            <v>18139.22</v>
          </cell>
          <cell r="V55">
            <v>16202.92</v>
          </cell>
          <cell r="W55">
            <v>29052.6</v>
          </cell>
          <cell r="X55">
            <v>25224.985000000001</v>
          </cell>
          <cell r="Y55">
            <v>0</v>
          </cell>
          <cell r="Z55">
            <v>0</v>
          </cell>
          <cell r="AA55">
            <v>0</v>
          </cell>
          <cell r="AB55">
            <v>0</v>
          </cell>
          <cell r="AC55">
            <v>0</v>
          </cell>
        </row>
        <row r="56">
          <cell r="A56">
            <v>0</v>
          </cell>
          <cell r="D56">
            <v>0</v>
          </cell>
          <cell r="E56">
            <v>0</v>
          </cell>
          <cell r="F56">
            <v>0</v>
          </cell>
          <cell r="G56">
            <v>0</v>
          </cell>
          <cell r="H56">
            <v>0</v>
          </cell>
          <cell r="I56">
            <v>0</v>
          </cell>
          <cell r="J56">
            <v>0</v>
          </cell>
          <cell r="K56">
            <v>0</v>
          </cell>
          <cell r="L56">
            <v>0</v>
          </cell>
          <cell r="M56">
            <v>0</v>
          </cell>
          <cell r="N56">
            <v>0</v>
          </cell>
          <cell r="O56">
            <v>0</v>
          </cell>
          <cell r="P56">
            <v>0</v>
          </cell>
          <cell r="R56">
            <v>0</v>
          </cell>
          <cell r="S56">
            <v>0</v>
          </cell>
          <cell r="T56">
            <v>0</v>
          </cell>
          <cell r="U56">
            <v>0</v>
          </cell>
          <cell r="V56">
            <v>0</v>
          </cell>
          <cell r="W56">
            <v>0</v>
          </cell>
          <cell r="X56">
            <v>0</v>
          </cell>
          <cell r="Y56">
            <v>0</v>
          </cell>
          <cell r="Z56">
            <v>0</v>
          </cell>
          <cell r="AA56">
            <v>0</v>
          </cell>
          <cell r="AB56">
            <v>0</v>
          </cell>
          <cell r="AC56">
            <v>0</v>
          </cell>
        </row>
        <row r="57">
          <cell r="A57" t="str">
            <v>OB17</v>
          </cell>
          <cell r="B57" t="str">
            <v>OŠ Simona Jenka - Primskovo</v>
          </cell>
          <cell r="C57" t="str">
            <v>Zadružna ulica 11, 4000 Kranj</v>
          </cell>
          <cell r="D57">
            <v>1459</v>
          </cell>
          <cell r="E57">
            <v>1980</v>
          </cell>
          <cell r="F57" t="str">
            <v>raba v kWh</v>
          </cell>
          <cell r="G57">
            <v>56848</v>
          </cell>
          <cell r="H57">
            <v>57712</v>
          </cell>
          <cell r="I57">
            <v>55835</v>
          </cell>
          <cell r="J57">
            <v>54921</v>
          </cell>
          <cell r="K57">
            <v>56329</v>
          </cell>
          <cell r="L57">
            <v>38.607950651130913</v>
          </cell>
          <cell r="M57">
            <v>56329</v>
          </cell>
          <cell r="N57">
            <v>7889.5924999999988</v>
          </cell>
          <cell r="O57">
            <v>38.607950651130913</v>
          </cell>
          <cell r="P57">
            <v>140.0627119245859</v>
          </cell>
          <cell r="Q57">
            <v>0</v>
          </cell>
          <cell r="R57" t="str">
            <v>ELKO</v>
          </cell>
          <cell r="S57" t="str">
            <v>raba v kWh</v>
          </cell>
          <cell r="T57">
            <v>201640.32000000001</v>
          </cell>
          <cell r="U57">
            <v>100830.24</v>
          </cell>
          <cell r="V57">
            <v>241980.48</v>
          </cell>
          <cell r="W57">
            <v>229491.36000000002</v>
          </cell>
          <cell r="X57">
            <v>193485.6</v>
          </cell>
          <cell r="Y57">
            <v>132.61521590130226</v>
          </cell>
          <cell r="Z57">
            <v>204210.66418212181</v>
          </cell>
          <cell r="AA57">
            <v>14212.473549985214</v>
          </cell>
          <cell r="AB57">
            <v>139.96618518308554</v>
          </cell>
          <cell r="AC57">
            <v>69.597117304853683</v>
          </cell>
          <cell r="AD57">
            <v>1225.2639850927308</v>
          </cell>
          <cell r="AE57">
            <v>1225.2639850927308</v>
          </cell>
        </row>
        <row r="58">
          <cell r="A58">
            <v>0</v>
          </cell>
          <cell r="B58">
            <v>0</v>
          </cell>
          <cell r="C58">
            <v>0</v>
          </cell>
          <cell r="D58">
            <v>0</v>
          </cell>
          <cell r="E58">
            <v>0</v>
          </cell>
          <cell r="F58" t="str">
            <v>stroški v €</v>
          </cell>
          <cell r="G58">
            <v>8070.1399999999985</v>
          </cell>
          <cell r="H58">
            <v>7899.9699999999993</v>
          </cell>
          <cell r="I58">
            <v>7989.69</v>
          </cell>
          <cell r="J58">
            <v>7598.5700000000006</v>
          </cell>
          <cell r="K58">
            <v>7889.5924999999988</v>
          </cell>
          <cell r="L58">
            <v>0</v>
          </cell>
          <cell r="M58">
            <v>0</v>
          </cell>
          <cell r="N58">
            <v>0</v>
          </cell>
          <cell r="O58">
            <v>0</v>
          </cell>
          <cell r="P58">
            <v>0</v>
          </cell>
          <cell r="Q58">
            <v>0</v>
          </cell>
          <cell r="R58">
            <v>0</v>
          </cell>
          <cell r="S58" t="str">
            <v>stroški v €</v>
          </cell>
          <cell r="T58">
            <v>16247.47</v>
          </cell>
          <cell r="U58">
            <v>8024.46</v>
          </cell>
          <cell r="V58">
            <v>16111.6</v>
          </cell>
          <cell r="W58">
            <v>13480.63</v>
          </cell>
          <cell r="X58">
            <v>13466.039999999999</v>
          </cell>
          <cell r="Y58">
            <v>0</v>
          </cell>
          <cell r="Z58">
            <v>0</v>
          </cell>
          <cell r="AA58">
            <v>0</v>
          </cell>
          <cell r="AB58">
            <v>0</v>
          </cell>
          <cell r="AC58">
            <v>0</v>
          </cell>
        </row>
        <row r="59">
          <cell r="A59">
            <v>0</v>
          </cell>
          <cell r="D59">
            <v>0</v>
          </cell>
          <cell r="E59">
            <v>0</v>
          </cell>
          <cell r="F59">
            <v>0</v>
          </cell>
          <cell r="G59">
            <v>0</v>
          </cell>
          <cell r="H59">
            <v>0</v>
          </cell>
          <cell r="I59">
            <v>0</v>
          </cell>
          <cell r="J59">
            <v>0</v>
          </cell>
          <cell r="K59">
            <v>0</v>
          </cell>
          <cell r="L59">
            <v>0</v>
          </cell>
          <cell r="M59">
            <v>0</v>
          </cell>
          <cell r="N59">
            <v>0</v>
          </cell>
          <cell r="O59">
            <v>0</v>
          </cell>
          <cell r="P59">
            <v>0</v>
          </cell>
          <cell r="R59">
            <v>0</v>
          </cell>
          <cell r="S59">
            <v>0</v>
          </cell>
          <cell r="T59">
            <v>0</v>
          </cell>
          <cell r="U59">
            <v>0</v>
          </cell>
          <cell r="V59">
            <v>0</v>
          </cell>
          <cell r="W59">
            <v>0</v>
          </cell>
          <cell r="X59">
            <v>0</v>
          </cell>
          <cell r="Y59">
            <v>0</v>
          </cell>
          <cell r="Z59">
            <v>0</v>
          </cell>
          <cell r="AA59">
            <v>0</v>
          </cell>
          <cell r="AB59">
            <v>0</v>
          </cell>
          <cell r="AC59">
            <v>0</v>
          </cell>
        </row>
        <row r="60">
          <cell r="A60" t="str">
            <v>OB18</v>
          </cell>
          <cell r="B60" t="str">
            <v>VVZ Mojca</v>
          </cell>
          <cell r="C60" t="str">
            <v>Ulica Nikole Tesle 2, 4000 Kranj</v>
          </cell>
          <cell r="D60">
            <v>1164</v>
          </cell>
          <cell r="E60">
            <v>1981</v>
          </cell>
          <cell r="F60" t="str">
            <v>raba v kWh</v>
          </cell>
          <cell r="G60">
            <v>70122</v>
          </cell>
          <cell r="H60">
            <v>59050</v>
          </cell>
          <cell r="I60">
            <v>55798</v>
          </cell>
          <cell r="J60">
            <v>61626</v>
          </cell>
          <cell r="K60">
            <v>61649</v>
          </cell>
          <cell r="L60">
            <v>52.963058419243985</v>
          </cell>
          <cell r="M60">
            <v>61649</v>
          </cell>
          <cell r="N60">
            <v>6192.8074999999999</v>
          </cell>
          <cell r="O60">
            <v>52.963058419243985</v>
          </cell>
          <cell r="P60">
            <v>100.45268374182874</v>
          </cell>
          <cell r="Q60">
            <v>0</v>
          </cell>
          <cell r="R60" t="str">
            <v>ZP</v>
          </cell>
          <cell r="S60" t="str">
            <v>raba v kWh</v>
          </cell>
          <cell r="T60">
            <v>266934</v>
          </cell>
          <cell r="U60">
            <v>207570</v>
          </cell>
          <cell r="V60">
            <v>232530</v>
          </cell>
          <cell r="W60">
            <v>224250</v>
          </cell>
          <cell r="X60">
            <v>232821</v>
          </cell>
          <cell r="Y60">
            <v>200.01804123711341</v>
          </cell>
          <cell r="Z60">
            <v>245726.4573980998</v>
          </cell>
          <cell r="AA60">
            <v>14588.109292192381</v>
          </cell>
          <cell r="AB60">
            <v>211.10520395025756</v>
          </cell>
          <cell r="AC60">
            <v>59.367271423110466</v>
          </cell>
          <cell r="AD60">
            <v>1474.3587443885988</v>
          </cell>
          <cell r="AE60">
            <v>16062.46803658098</v>
          </cell>
        </row>
        <row r="61">
          <cell r="A61">
            <v>0</v>
          </cell>
          <cell r="B61">
            <v>0</v>
          </cell>
          <cell r="C61">
            <v>0</v>
          </cell>
          <cell r="D61">
            <v>0</v>
          </cell>
          <cell r="E61">
            <v>0</v>
          </cell>
          <cell r="F61" t="str">
            <v>stroški v €</v>
          </cell>
          <cell r="G61">
            <v>9457.9299999999985</v>
          </cell>
          <cell r="H61">
            <v>6879.41</v>
          </cell>
          <cell r="I61">
            <v>4025.05</v>
          </cell>
          <cell r="J61">
            <v>4408.84</v>
          </cell>
          <cell r="K61">
            <v>6192.8074999999999</v>
          </cell>
          <cell r="L61">
            <v>0</v>
          </cell>
          <cell r="M61">
            <v>0</v>
          </cell>
          <cell r="N61">
            <v>0</v>
          </cell>
          <cell r="O61">
            <v>0</v>
          </cell>
          <cell r="P61">
            <v>0</v>
          </cell>
          <cell r="Q61">
            <v>0</v>
          </cell>
          <cell r="R61">
            <v>0</v>
          </cell>
          <cell r="S61" t="str">
            <v>stroški v €</v>
          </cell>
          <cell r="T61">
            <v>23369.550000000003</v>
          </cell>
          <cell r="U61">
            <v>15091.070000000002</v>
          </cell>
          <cell r="V61">
            <v>290.23</v>
          </cell>
          <cell r="W61">
            <v>16536.939999999999</v>
          </cell>
          <cell r="X61">
            <v>13821.947500000002</v>
          </cell>
          <cell r="Y61">
            <v>0</v>
          </cell>
          <cell r="Z61">
            <v>0</v>
          </cell>
          <cell r="AA61">
            <v>0</v>
          </cell>
          <cell r="AB61">
            <v>0</v>
          </cell>
          <cell r="AC61">
            <v>0</v>
          </cell>
        </row>
        <row r="62">
          <cell r="A62">
            <v>0</v>
          </cell>
          <cell r="D62">
            <v>0</v>
          </cell>
          <cell r="E62">
            <v>0</v>
          </cell>
          <cell r="F62">
            <v>0</v>
          </cell>
          <cell r="G62">
            <v>0</v>
          </cell>
          <cell r="H62">
            <v>0</v>
          </cell>
          <cell r="I62">
            <v>0</v>
          </cell>
          <cell r="J62">
            <v>0</v>
          </cell>
          <cell r="K62">
            <v>0</v>
          </cell>
          <cell r="L62">
            <v>0</v>
          </cell>
          <cell r="M62">
            <v>0</v>
          </cell>
          <cell r="N62">
            <v>0</v>
          </cell>
          <cell r="O62">
            <v>0</v>
          </cell>
          <cell r="P62">
            <v>0</v>
          </cell>
          <cell r="R62">
            <v>0</v>
          </cell>
          <cell r="S62">
            <v>0</v>
          </cell>
          <cell r="T62">
            <v>0</v>
          </cell>
          <cell r="U62">
            <v>0</v>
          </cell>
          <cell r="V62">
            <v>0</v>
          </cell>
          <cell r="W62">
            <v>0</v>
          </cell>
          <cell r="X62">
            <v>0</v>
          </cell>
          <cell r="Y62">
            <v>0</v>
          </cell>
          <cell r="Z62">
            <v>0</v>
          </cell>
          <cell r="AA62">
            <v>0</v>
          </cell>
          <cell r="AB62">
            <v>0</v>
          </cell>
          <cell r="AC62">
            <v>0</v>
          </cell>
        </row>
        <row r="63">
          <cell r="A63" t="str">
            <v>OB19</v>
          </cell>
          <cell r="B63" t="str">
            <v>VVZ Živ Žav</v>
          </cell>
          <cell r="C63" t="str">
            <v>Jernejeva 14 , 4000 Kranj</v>
          </cell>
          <cell r="D63">
            <v>720</v>
          </cell>
          <cell r="E63">
            <v>1973</v>
          </cell>
          <cell r="F63" t="str">
            <v>raba v kWh</v>
          </cell>
          <cell r="G63">
            <v>22034</v>
          </cell>
          <cell r="H63">
            <v>21508</v>
          </cell>
          <cell r="I63">
            <v>21859</v>
          </cell>
          <cell r="J63">
            <v>23993</v>
          </cell>
          <cell r="K63">
            <v>22348.5</v>
          </cell>
          <cell r="L63">
            <v>31.039583333333333</v>
          </cell>
          <cell r="M63">
            <v>22348.5</v>
          </cell>
          <cell r="N63">
            <v>3745.335</v>
          </cell>
          <cell r="O63">
            <v>31.039583333333333</v>
          </cell>
          <cell r="P63">
            <v>167.58775756762199</v>
          </cell>
          <cell r="Q63">
            <v>0</v>
          </cell>
          <cell r="R63" t="str">
            <v>ELKO</v>
          </cell>
          <cell r="S63" t="str">
            <v>raba v kWh</v>
          </cell>
          <cell r="T63">
            <v>151210.07999999999</v>
          </cell>
          <cell r="U63">
            <v>161280</v>
          </cell>
          <cell r="V63">
            <v>161834.4</v>
          </cell>
          <cell r="W63">
            <v>94500</v>
          </cell>
          <cell r="X63">
            <v>142206.12</v>
          </cell>
          <cell r="Y63">
            <v>197.5085</v>
          </cell>
          <cell r="Z63">
            <v>150088.72089686527</v>
          </cell>
          <cell r="AA63">
            <v>10791.249712657911</v>
          </cell>
          <cell r="AB63">
            <v>208.45655680120177</v>
          </cell>
          <cell r="AC63">
            <v>71.899138377448168</v>
          </cell>
          <cell r="AD63">
            <v>900.53232538119164</v>
          </cell>
          <cell r="AE63">
            <v>11691.782038039102</v>
          </cell>
        </row>
        <row r="64">
          <cell r="A64">
            <v>0</v>
          </cell>
          <cell r="B64">
            <v>0</v>
          </cell>
          <cell r="C64">
            <v>0</v>
          </cell>
          <cell r="D64">
            <v>0</v>
          </cell>
          <cell r="E64">
            <v>0</v>
          </cell>
          <cell r="F64" t="str">
            <v>stroški v €</v>
          </cell>
          <cell r="G64">
            <v>4115.16</v>
          </cell>
          <cell r="H64">
            <v>4011.73</v>
          </cell>
          <cell r="I64">
            <v>3689.0399999999995</v>
          </cell>
          <cell r="J64">
            <v>3165.41</v>
          </cell>
          <cell r="K64">
            <v>3745.3349999999996</v>
          </cell>
          <cell r="L64">
            <v>0</v>
          </cell>
          <cell r="M64">
            <v>0</v>
          </cell>
          <cell r="N64">
            <v>0</v>
          </cell>
          <cell r="O64">
            <v>0</v>
          </cell>
          <cell r="P64">
            <v>0</v>
          </cell>
          <cell r="Q64">
            <v>0</v>
          </cell>
          <cell r="R64">
            <v>0</v>
          </cell>
          <cell r="S64" t="str">
            <v>stroški v €</v>
          </cell>
          <cell r="T64">
            <v>12064.599999999999</v>
          </cell>
          <cell r="U64">
            <v>12892.45</v>
          </cell>
          <cell r="V64">
            <v>10154.219999999999</v>
          </cell>
          <cell r="W64">
            <v>5786.72</v>
          </cell>
          <cell r="X64">
            <v>10224.497499999999</v>
          </cell>
          <cell r="Y64">
            <v>0</v>
          </cell>
          <cell r="Z64">
            <v>0</v>
          </cell>
          <cell r="AA64">
            <v>0</v>
          </cell>
          <cell r="AB64">
            <v>0</v>
          </cell>
          <cell r="AC64">
            <v>0</v>
          </cell>
        </row>
        <row r="65">
          <cell r="A65">
            <v>0</v>
          </cell>
          <cell r="D65">
            <v>0</v>
          </cell>
          <cell r="E65">
            <v>0</v>
          </cell>
          <cell r="F65">
            <v>0</v>
          </cell>
          <cell r="G65">
            <v>0</v>
          </cell>
          <cell r="H65">
            <v>0</v>
          </cell>
          <cell r="I65">
            <v>0</v>
          </cell>
          <cell r="J65">
            <v>0</v>
          </cell>
          <cell r="K65">
            <v>0</v>
          </cell>
          <cell r="L65">
            <v>0</v>
          </cell>
          <cell r="M65">
            <v>0</v>
          </cell>
          <cell r="N65">
            <v>0</v>
          </cell>
          <cell r="O65">
            <v>0</v>
          </cell>
          <cell r="P65">
            <v>0</v>
          </cell>
          <cell r="R65">
            <v>0</v>
          </cell>
          <cell r="S65">
            <v>0</v>
          </cell>
          <cell r="T65">
            <v>0</v>
          </cell>
          <cell r="U65">
            <v>0</v>
          </cell>
          <cell r="V65">
            <v>0</v>
          </cell>
          <cell r="W65">
            <v>0</v>
          </cell>
          <cell r="X65">
            <v>0</v>
          </cell>
          <cell r="Y65">
            <v>0</v>
          </cell>
          <cell r="Z65">
            <v>0</v>
          </cell>
          <cell r="AA65">
            <v>0</v>
          </cell>
          <cell r="AB65">
            <v>0</v>
          </cell>
          <cell r="AC65">
            <v>0</v>
          </cell>
        </row>
        <row r="66">
          <cell r="A66" t="str">
            <v>OB20</v>
          </cell>
          <cell r="B66" t="str">
            <v>ZZŠK Pokriti olimpijski bazen</v>
          </cell>
          <cell r="C66" t="str">
            <v>Partizanska cesta 37, 4000 Kranj</v>
          </cell>
          <cell r="D66">
            <v>6345</v>
          </cell>
          <cell r="E66">
            <v>1995</v>
          </cell>
          <cell r="F66" t="str">
            <v>raba v kWh</v>
          </cell>
          <cell r="G66">
            <v>1790217</v>
          </cell>
          <cell r="H66">
            <v>1771889</v>
          </cell>
          <cell r="I66">
            <v>1757057</v>
          </cell>
          <cell r="J66">
            <v>1789811</v>
          </cell>
          <cell r="K66">
            <v>1777243.5</v>
          </cell>
          <cell r="L66">
            <v>280.10141843971633</v>
          </cell>
          <cell r="M66">
            <v>1777243.5</v>
          </cell>
          <cell r="N66">
            <v>147560.20000000001</v>
          </cell>
          <cell r="O66">
            <v>280.10141843971633</v>
          </cell>
          <cell r="P66">
            <v>83.027564877857202</v>
          </cell>
          <cell r="Q66">
            <v>0</v>
          </cell>
          <cell r="R66" t="str">
            <v>ZP</v>
          </cell>
          <cell r="S66" t="str">
            <v>raba v kWh</v>
          </cell>
          <cell r="T66">
            <v>763337.27999999991</v>
          </cell>
          <cell r="U66">
            <v>356010.72</v>
          </cell>
          <cell r="V66">
            <v>769492.15999999992</v>
          </cell>
          <cell r="W66">
            <v>510298.07999999996</v>
          </cell>
          <cell r="X66">
            <v>599784.55999999994</v>
          </cell>
          <cell r="Y66">
            <v>94.528693459416857</v>
          </cell>
          <cell r="Z66">
            <v>633031.10600365954</v>
          </cell>
          <cell r="AA66">
            <v>35914.479406298189</v>
          </cell>
          <cell r="AB66">
            <v>99.768495824059812</v>
          </cell>
          <cell r="AC66">
            <v>56.734146340812778</v>
          </cell>
          <cell r="AD66">
            <v>3798.1866360219574</v>
          </cell>
          <cell r="AE66">
            <v>3798.1866360219574</v>
          </cell>
        </row>
        <row r="67">
          <cell r="A67">
            <v>0</v>
          </cell>
          <cell r="B67">
            <v>0</v>
          </cell>
          <cell r="C67">
            <v>0</v>
          </cell>
          <cell r="D67">
            <v>0</v>
          </cell>
          <cell r="E67">
            <v>0</v>
          </cell>
          <cell r="F67" t="str">
            <v>stroški v €</v>
          </cell>
          <cell r="G67">
            <v>168046.3</v>
          </cell>
          <cell r="H67">
            <v>154075.48000000001</v>
          </cell>
          <cell r="I67">
            <v>141661.89000000001</v>
          </cell>
          <cell r="J67">
            <v>126457.13000000002</v>
          </cell>
          <cell r="K67">
            <v>147560.20000000001</v>
          </cell>
          <cell r="L67">
            <v>0</v>
          </cell>
          <cell r="M67">
            <v>0</v>
          </cell>
          <cell r="N67">
            <v>0</v>
          </cell>
          <cell r="O67">
            <v>0</v>
          </cell>
          <cell r="P67">
            <v>0</v>
          </cell>
          <cell r="Q67">
            <v>0</v>
          </cell>
          <cell r="R67">
            <v>0</v>
          </cell>
          <cell r="S67" t="str">
            <v>stroški v €</v>
          </cell>
          <cell r="T67">
            <v>49515.139999999992</v>
          </cell>
          <cell r="U67">
            <v>20965.189999999999</v>
          </cell>
          <cell r="V67">
            <v>39929.46</v>
          </cell>
          <cell r="W67">
            <v>25703.270000000004</v>
          </cell>
          <cell r="X67">
            <v>34028.264999999999</v>
          </cell>
          <cell r="Y67">
            <v>0</v>
          </cell>
          <cell r="Z67">
            <v>0</v>
          </cell>
          <cell r="AA67">
            <v>0</v>
          </cell>
          <cell r="AB67">
            <v>0</v>
          </cell>
          <cell r="AC67">
            <v>0</v>
          </cell>
        </row>
        <row r="68">
          <cell r="A68">
            <v>0</v>
          </cell>
          <cell r="D68">
            <v>0</v>
          </cell>
          <cell r="E68">
            <v>0</v>
          </cell>
          <cell r="F68">
            <v>0</v>
          </cell>
          <cell r="G68">
            <v>0</v>
          </cell>
          <cell r="H68">
            <v>0</v>
          </cell>
          <cell r="I68">
            <v>0</v>
          </cell>
          <cell r="J68">
            <v>0</v>
          </cell>
          <cell r="K68">
            <v>0</v>
          </cell>
          <cell r="L68">
            <v>0</v>
          </cell>
          <cell r="M68">
            <v>0</v>
          </cell>
          <cell r="N68">
            <v>0</v>
          </cell>
          <cell r="O68">
            <v>0</v>
          </cell>
          <cell r="P68">
            <v>0</v>
          </cell>
          <cell r="R68">
            <v>0</v>
          </cell>
          <cell r="S68">
            <v>0</v>
          </cell>
          <cell r="T68">
            <v>0</v>
          </cell>
          <cell r="U68">
            <v>0</v>
          </cell>
          <cell r="V68">
            <v>0</v>
          </cell>
          <cell r="W68">
            <v>0</v>
          </cell>
          <cell r="X68">
            <v>0</v>
          </cell>
          <cell r="Y68">
            <v>0</v>
          </cell>
          <cell r="Z68">
            <v>0</v>
          </cell>
          <cell r="AA68">
            <v>0</v>
          </cell>
          <cell r="AB68">
            <v>0</v>
          </cell>
          <cell r="AC68">
            <v>0</v>
          </cell>
        </row>
        <row r="69">
          <cell r="A69" t="str">
            <v>OB21</v>
          </cell>
          <cell r="B69" t="str">
            <v>Mestna knjižnica Kranj</v>
          </cell>
          <cell r="C69" t="str">
            <v>Gregorčičeva ulica 1, 4000 Kranj</v>
          </cell>
          <cell r="D69">
            <v>14261</v>
          </cell>
          <cell r="E69">
            <v>1972</v>
          </cell>
          <cell r="F69" t="str">
            <v>raba v kWh</v>
          </cell>
          <cell r="G69">
            <v>423963</v>
          </cell>
          <cell r="H69">
            <v>390233</v>
          </cell>
          <cell r="I69">
            <v>444305</v>
          </cell>
          <cell r="J69">
            <v>449467</v>
          </cell>
          <cell r="K69">
            <v>426992</v>
          </cell>
          <cell r="L69">
            <v>29.941238342332234</v>
          </cell>
          <cell r="M69">
            <v>426992</v>
          </cell>
          <cell r="N69">
            <v>37011.815000000002</v>
          </cell>
          <cell r="O69">
            <v>29.941238342332234</v>
          </cell>
          <cell r="P69">
            <v>86.680347641173611</v>
          </cell>
          <cell r="Q69">
            <v>0</v>
          </cell>
          <cell r="R69" t="str">
            <v>ZP</v>
          </cell>
          <cell r="S69" t="str">
            <v>raba v kWh</v>
          </cell>
          <cell r="T69">
            <v>464504.63999999996</v>
          </cell>
          <cell r="U69">
            <v>304779.83999999997</v>
          </cell>
          <cell r="V69">
            <v>435287.83999999997</v>
          </cell>
          <cell r="W69">
            <v>412782.88</v>
          </cell>
          <cell r="X69">
            <v>404338.79999999993</v>
          </cell>
          <cell r="Y69">
            <v>28.35276628567421</v>
          </cell>
          <cell r="Z69">
            <v>426751.62855841516</v>
          </cell>
          <cell r="AA69">
            <v>23188.690977170842</v>
          </cell>
          <cell r="AB69">
            <v>29.92438318199391</v>
          </cell>
          <cell r="AC69">
            <v>54.337674247438045</v>
          </cell>
          <cell r="AD69">
            <v>2560.5097713504911</v>
          </cell>
          <cell r="AE69">
            <v>25749.200748521333</v>
          </cell>
        </row>
        <row r="70">
          <cell r="A70">
            <v>0</v>
          </cell>
          <cell r="B70">
            <v>0</v>
          </cell>
          <cell r="C70">
            <v>0</v>
          </cell>
          <cell r="D70">
            <v>0</v>
          </cell>
          <cell r="E70">
            <v>0</v>
          </cell>
          <cell r="F70" t="str">
            <v>stroški v €</v>
          </cell>
          <cell r="G70">
            <v>39378.49</v>
          </cell>
          <cell r="H70">
            <v>33961.439999999995</v>
          </cell>
          <cell r="I70">
            <v>36693.469999999994</v>
          </cell>
          <cell r="J70">
            <v>38013.86</v>
          </cell>
          <cell r="K70">
            <v>37011.815000000002</v>
          </cell>
          <cell r="L70">
            <v>0</v>
          </cell>
          <cell r="M70">
            <v>0</v>
          </cell>
          <cell r="N70">
            <v>0</v>
          </cell>
          <cell r="O70">
            <v>0</v>
          </cell>
          <cell r="P70">
            <v>0</v>
          </cell>
          <cell r="Q70">
            <v>0</v>
          </cell>
          <cell r="R70">
            <v>0</v>
          </cell>
          <cell r="S70" t="str">
            <v>stroški v €</v>
          </cell>
          <cell r="T70">
            <v>27760.729999999996</v>
          </cell>
          <cell r="U70">
            <v>16893.330000000002</v>
          </cell>
          <cell r="V70">
            <v>23142.53</v>
          </cell>
          <cell r="W70">
            <v>20086.73</v>
          </cell>
          <cell r="X70">
            <v>21970.829999999998</v>
          </cell>
          <cell r="Y70">
            <v>0</v>
          </cell>
          <cell r="Z70">
            <v>0</v>
          </cell>
          <cell r="AA70">
            <v>0</v>
          </cell>
          <cell r="AB70">
            <v>0</v>
          </cell>
          <cell r="AC70">
            <v>0</v>
          </cell>
        </row>
        <row r="71">
          <cell r="A71">
            <v>0</v>
          </cell>
          <cell r="D71">
            <v>0</v>
          </cell>
          <cell r="E71">
            <v>0</v>
          </cell>
          <cell r="F71">
            <v>0</v>
          </cell>
          <cell r="G71">
            <v>0</v>
          </cell>
          <cell r="H71">
            <v>0</v>
          </cell>
          <cell r="I71">
            <v>0</v>
          </cell>
          <cell r="J71">
            <v>0</v>
          </cell>
          <cell r="K71">
            <v>0</v>
          </cell>
          <cell r="L71">
            <v>0</v>
          </cell>
          <cell r="M71">
            <v>0</v>
          </cell>
          <cell r="N71">
            <v>0</v>
          </cell>
          <cell r="O71">
            <v>0</v>
          </cell>
          <cell r="P71">
            <v>0</v>
          </cell>
          <cell r="R71">
            <v>0</v>
          </cell>
          <cell r="S71">
            <v>0</v>
          </cell>
          <cell r="T71">
            <v>0</v>
          </cell>
          <cell r="U71">
            <v>0</v>
          </cell>
          <cell r="V71">
            <v>0</v>
          </cell>
          <cell r="W71">
            <v>0</v>
          </cell>
          <cell r="X71">
            <v>0</v>
          </cell>
          <cell r="Y71">
            <v>0</v>
          </cell>
          <cell r="Z71">
            <v>0</v>
          </cell>
          <cell r="AA71">
            <v>0</v>
          </cell>
          <cell r="AB71">
            <v>0</v>
          </cell>
          <cell r="AC71">
            <v>0</v>
          </cell>
        </row>
        <row r="72">
          <cell r="A72" t="str">
            <v>OB22</v>
          </cell>
          <cell r="B72" t="str">
            <v>Zdravstveni dom Kranj</v>
          </cell>
          <cell r="C72" t="str">
            <v>Gosposvetska ulica 10, 4000 Kranj</v>
          </cell>
          <cell r="D72">
            <v>5508</v>
          </cell>
          <cell r="E72">
            <v>1959</v>
          </cell>
          <cell r="F72" t="str">
            <v>raba v kWh</v>
          </cell>
          <cell r="G72">
            <v>562773</v>
          </cell>
          <cell r="H72">
            <v>557925</v>
          </cell>
          <cell r="I72">
            <v>562152</v>
          </cell>
          <cell r="J72">
            <v>556794</v>
          </cell>
          <cell r="K72">
            <v>559911</v>
          </cell>
          <cell r="L72">
            <v>101.65413943355119</v>
          </cell>
          <cell r="M72">
            <v>559911</v>
          </cell>
          <cell r="N72">
            <v>48690.464999999997</v>
          </cell>
          <cell r="O72">
            <v>101.65413943355119</v>
          </cell>
          <cell r="P72">
            <v>86.961079528710812</v>
          </cell>
          <cell r="Q72">
            <v>0</v>
          </cell>
          <cell r="R72" t="str">
            <v>ELKO</v>
          </cell>
          <cell r="S72" t="str">
            <v>raba v kWh</v>
          </cell>
          <cell r="T72">
            <v>1742962.9700000002</v>
          </cell>
          <cell r="U72">
            <v>1434894.4000000001</v>
          </cell>
          <cell r="V72">
            <v>1447906.1800000002</v>
          </cell>
          <cell r="W72">
            <v>1441371.8800000001</v>
          </cell>
          <cell r="X72">
            <v>1516783.8575000002</v>
          </cell>
          <cell r="Y72">
            <v>275.37833287944812</v>
          </cell>
          <cell r="Z72">
            <v>1600860.4204178287</v>
          </cell>
          <cell r="AA72">
            <v>23694.456061511661</v>
          </cell>
          <cell r="AB72">
            <v>290.64277785363629</v>
          </cell>
          <cell r="AC72">
            <v>14.801075571177748</v>
          </cell>
          <cell r="AD72">
            <v>9605.1625225069729</v>
          </cell>
          <cell r="AE72">
            <v>33299.618584018637</v>
          </cell>
        </row>
        <row r="73">
          <cell r="A73">
            <v>0</v>
          </cell>
          <cell r="B73">
            <v>0</v>
          </cell>
          <cell r="C73">
            <v>0</v>
          </cell>
          <cell r="D73">
            <v>0</v>
          </cell>
          <cell r="E73">
            <v>0</v>
          </cell>
          <cell r="F73" t="str">
            <v>stroški v €</v>
          </cell>
          <cell r="G73">
            <v>0</v>
          </cell>
          <cell r="H73">
            <v>0</v>
          </cell>
          <cell r="I73">
            <v>42434.340000000004</v>
          </cell>
          <cell r="J73">
            <v>54946.59</v>
          </cell>
          <cell r="K73">
            <v>48690.464999999997</v>
          </cell>
          <cell r="L73">
            <v>0</v>
          </cell>
          <cell r="M73">
            <v>0</v>
          </cell>
          <cell r="N73">
            <v>0</v>
          </cell>
          <cell r="O73">
            <v>0</v>
          </cell>
          <cell r="P73">
            <v>0</v>
          </cell>
          <cell r="Q73">
            <v>0</v>
          </cell>
          <cell r="R73">
            <v>0</v>
          </cell>
          <cell r="S73" t="str">
            <v>stroški v €</v>
          </cell>
          <cell r="T73">
            <v>0</v>
          </cell>
          <cell r="U73">
            <v>0</v>
          </cell>
          <cell r="V73">
            <v>24216.880000000001</v>
          </cell>
          <cell r="W73">
            <v>65583.25</v>
          </cell>
          <cell r="X73">
            <v>22450.032500000001</v>
          </cell>
          <cell r="Y73">
            <v>0</v>
          </cell>
          <cell r="Z73">
            <v>0</v>
          </cell>
          <cell r="AA73">
            <v>0</v>
          </cell>
          <cell r="AB73">
            <v>0</v>
          </cell>
          <cell r="AC73">
            <v>0</v>
          </cell>
        </row>
        <row r="74">
          <cell r="A74">
            <v>0</v>
          </cell>
          <cell r="D74">
            <v>0</v>
          </cell>
          <cell r="E74">
            <v>0</v>
          </cell>
          <cell r="F74">
            <v>0</v>
          </cell>
          <cell r="G74">
            <v>0</v>
          </cell>
          <cell r="H74">
            <v>0</v>
          </cell>
          <cell r="I74">
            <v>0</v>
          </cell>
          <cell r="J74">
            <v>0</v>
          </cell>
          <cell r="K74">
            <v>0</v>
          </cell>
          <cell r="L74">
            <v>0</v>
          </cell>
          <cell r="M74">
            <v>0</v>
          </cell>
          <cell r="N74">
            <v>0</v>
          </cell>
          <cell r="O74">
            <v>0</v>
          </cell>
          <cell r="P74">
            <v>0</v>
          </cell>
          <cell r="R74">
            <v>0</v>
          </cell>
          <cell r="S74">
            <v>0</v>
          </cell>
          <cell r="T74">
            <v>0</v>
          </cell>
          <cell r="U74">
            <v>0</v>
          </cell>
          <cell r="V74">
            <v>0</v>
          </cell>
          <cell r="W74">
            <v>0</v>
          </cell>
          <cell r="X74">
            <v>0</v>
          </cell>
          <cell r="Y74">
            <v>0</v>
          </cell>
          <cell r="Z74">
            <v>0</v>
          </cell>
          <cell r="AA74">
            <v>0</v>
          </cell>
          <cell r="AB74">
            <v>0</v>
          </cell>
          <cell r="AC74">
            <v>0</v>
          </cell>
        </row>
        <row r="75">
          <cell r="A75" t="str">
            <v>OB23</v>
          </cell>
          <cell r="B75" t="str">
            <v>Grad Khislstein</v>
          </cell>
          <cell r="C75" t="str">
            <v>Tomšičeva ulica 44, 4000 Kranj</v>
          </cell>
          <cell r="D75">
            <v>684</v>
          </cell>
          <cell r="E75">
            <v>1650</v>
          </cell>
          <cell r="F75" t="str">
            <v>raba v kWh</v>
          </cell>
          <cell r="G75">
            <v>0</v>
          </cell>
          <cell r="H75">
            <v>71052</v>
          </cell>
          <cell r="I75">
            <v>84414</v>
          </cell>
          <cell r="J75">
            <v>76205</v>
          </cell>
          <cell r="K75">
            <v>77223.666666666672</v>
          </cell>
          <cell r="L75">
            <v>112.90009746588694</v>
          </cell>
          <cell r="M75">
            <v>77223.666666666672</v>
          </cell>
          <cell r="N75">
            <v>6970.5599999999986</v>
          </cell>
          <cell r="O75">
            <v>112.90009746588694</v>
          </cell>
          <cell r="P75">
            <v>90.264556202545819</v>
          </cell>
          <cell r="Q75">
            <v>0</v>
          </cell>
          <cell r="R75" t="str">
            <v>ZP</v>
          </cell>
          <cell r="S75" t="str">
            <v>raba v kWh</v>
          </cell>
          <cell r="T75">
            <v>0</v>
          </cell>
          <cell r="U75">
            <v>236522.72000000003</v>
          </cell>
          <cell r="V75">
            <v>322945.94</v>
          </cell>
          <cell r="W75">
            <v>306146.16000000003</v>
          </cell>
          <cell r="X75">
            <v>279734.33</v>
          </cell>
          <cell r="Y75">
            <v>408.96831871345034</v>
          </cell>
          <cell r="Z75">
            <v>295240.23143758939</v>
          </cell>
          <cell r="AA75">
            <v>15717.95589362909</v>
          </cell>
          <cell r="AB75">
            <v>431.63776525963362</v>
          </cell>
          <cell r="AC75">
            <v>53.237852500978335</v>
          </cell>
          <cell r="AD75">
            <v>1771.4413886255363</v>
          </cell>
          <cell r="AE75">
            <v>1771.4413886255363</v>
          </cell>
        </row>
        <row r="76">
          <cell r="A76">
            <v>0</v>
          </cell>
          <cell r="B76">
            <v>0</v>
          </cell>
          <cell r="C76">
            <v>0</v>
          </cell>
          <cell r="D76">
            <v>0</v>
          </cell>
          <cell r="E76">
            <v>0</v>
          </cell>
          <cell r="F76" t="str">
            <v>stroški v €</v>
          </cell>
          <cell r="G76">
            <v>0</v>
          </cell>
          <cell r="H76">
            <v>6979.4299999999985</v>
          </cell>
          <cell r="I76">
            <v>7220.9299999999994</v>
          </cell>
          <cell r="J76">
            <v>6711.3200000000006</v>
          </cell>
          <cell r="K76">
            <v>6970.5599999999986</v>
          </cell>
          <cell r="L76">
            <v>0</v>
          </cell>
          <cell r="M76">
            <v>0</v>
          </cell>
          <cell r="N76">
            <v>0</v>
          </cell>
          <cell r="O76">
            <v>0</v>
          </cell>
          <cell r="P76">
            <v>0</v>
          </cell>
          <cell r="Q76">
            <v>0</v>
          </cell>
          <cell r="R76">
            <v>0</v>
          </cell>
          <cell r="S76" t="str">
            <v>stroški v €</v>
          </cell>
          <cell r="T76">
            <v>0</v>
          </cell>
          <cell r="U76">
            <v>12902.25</v>
          </cell>
          <cell r="V76">
            <v>16882.66</v>
          </cell>
          <cell r="W76">
            <v>14920.130000000001</v>
          </cell>
          <cell r="X76">
            <v>14892.455</v>
          </cell>
          <cell r="Y76">
            <v>0</v>
          </cell>
          <cell r="Z76">
            <v>0</v>
          </cell>
          <cell r="AA76">
            <v>0</v>
          </cell>
          <cell r="AB76">
            <v>0</v>
          </cell>
          <cell r="AC76">
            <v>0</v>
          </cell>
        </row>
        <row r="77">
          <cell r="A77">
            <v>0</v>
          </cell>
          <cell r="D77">
            <v>0</v>
          </cell>
          <cell r="E77">
            <v>0</v>
          </cell>
          <cell r="F77">
            <v>0</v>
          </cell>
          <cell r="G77">
            <v>0</v>
          </cell>
          <cell r="H77">
            <v>0</v>
          </cell>
          <cell r="I77">
            <v>0</v>
          </cell>
          <cell r="J77">
            <v>0</v>
          </cell>
          <cell r="K77">
            <v>0</v>
          </cell>
          <cell r="L77">
            <v>0</v>
          </cell>
          <cell r="M77">
            <v>0</v>
          </cell>
          <cell r="N77">
            <v>0</v>
          </cell>
          <cell r="O77">
            <v>0</v>
          </cell>
          <cell r="P77">
            <v>0</v>
          </cell>
          <cell r="R77">
            <v>0</v>
          </cell>
          <cell r="S77">
            <v>0</v>
          </cell>
          <cell r="T77">
            <v>0</v>
          </cell>
          <cell r="U77">
            <v>0</v>
          </cell>
          <cell r="V77">
            <v>0</v>
          </cell>
          <cell r="W77">
            <v>0</v>
          </cell>
          <cell r="X77">
            <v>0</v>
          </cell>
          <cell r="Y77">
            <v>0</v>
          </cell>
          <cell r="Z77">
            <v>0</v>
          </cell>
          <cell r="AA77">
            <v>0</v>
          </cell>
          <cell r="AB77">
            <v>0</v>
          </cell>
          <cell r="AC77">
            <v>0</v>
          </cell>
        </row>
        <row r="78">
          <cell r="A78" t="str">
            <v>OB24</v>
          </cell>
          <cell r="B78" t="str">
            <v>Glasbena šola Kranj - Poštna ulica</v>
          </cell>
          <cell r="C78" t="str">
            <v>Poštna ulica 3, 4000 Kranj</v>
          </cell>
          <cell r="D78">
            <v>969</v>
          </cell>
          <cell r="E78">
            <v>1949</v>
          </cell>
          <cell r="F78" t="str">
            <v>raba v kWh</v>
          </cell>
          <cell r="G78">
            <v>19770</v>
          </cell>
          <cell r="H78">
            <v>29142</v>
          </cell>
          <cell r="I78">
            <v>20237</v>
          </cell>
          <cell r="J78">
            <v>24964</v>
          </cell>
          <cell r="K78">
            <v>23528.25</v>
          </cell>
          <cell r="L78">
            <v>24.28095975232198</v>
          </cell>
          <cell r="M78">
            <v>23528.25</v>
          </cell>
          <cell r="N78">
            <v>2550.9575</v>
          </cell>
          <cell r="O78">
            <v>24.28095975232198</v>
          </cell>
          <cell r="P78">
            <v>108.42104703919756</v>
          </cell>
          <cell r="Q78">
            <v>0</v>
          </cell>
          <cell r="R78" t="str">
            <v>ELKO</v>
          </cell>
          <cell r="S78" t="str">
            <v>raba v kWh</v>
          </cell>
          <cell r="T78">
            <v>147443</v>
          </cell>
          <cell r="U78">
            <v>124585</v>
          </cell>
          <cell r="V78">
            <v>70140</v>
          </cell>
          <cell r="W78">
            <v>0</v>
          </cell>
          <cell r="X78">
            <v>114056</v>
          </cell>
          <cell r="Y78">
            <v>117.70485036119712</v>
          </cell>
          <cell r="Z78">
            <v>120378.21684898558</v>
          </cell>
          <cell r="AA78">
            <v>12121.464576857614</v>
          </cell>
          <cell r="AB78">
            <v>124.2293259535455</v>
          </cell>
          <cell r="AC78">
            <v>100.6948341165743</v>
          </cell>
          <cell r="AD78">
            <v>722.26930109391355</v>
          </cell>
          <cell r="AE78">
            <v>12843.733877951527</v>
          </cell>
        </row>
        <row r="79">
          <cell r="A79">
            <v>0</v>
          </cell>
          <cell r="B79">
            <v>0</v>
          </cell>
          <cell r="C79">
            <v>0</v>
          </cell>
          <cell r="D79">
            <v>0</v>
          </cell>
          <cell r="E79">
            <v>0</v>
          </cell>
          <cell r="F79" t="str">
            <v>stroški v €</v>
          </cell>
          <cell r="G79">
            <v>2332.5499999999997</v>
          </cell>
          <cell r="H79">
            <v>3180.23</v>
          </cell>
          <cell r="I79">
            <v>1799.64</v>
          </cell>
          <cell r="J79">
            <v>2891.4100000000003</v>
          </cell>
          <cell r="K79">
            <v>2550.9575</v>
          </cell>
          <cell r="L79">
            <v>0</v>
          </cell>
          <cell r="M79">
            <v>0</v>
          </cell>
          <cell r="N79">
            <v>0</v>
          </cell>
          <cell r="O79">
            <v>0</v>
          </cell>
          <cell r="P79">
            <v>0</v>
          </cell>
          <cell r="Q79">
            <v>0</v>
          </cell>
          <cell r="R79">
            <v>0</v>
          </cell>
          <cell r="S79" t="str">
            <v>stroški v €</v>
          </cell>
          <cell r="T79">
            <v>12915.82</v>
          </cell>
          <cell r="U79">
            <v>16737.019999999997</v>
          </cell>
          <cell r="V79">
            <v>4801.71</v>
          </cell>
          <cell r="W79">
            <v>9198.44</v>
          </cell>
          <cell r="X79">
            <v>11484.849999999999</v>
          </cell>
          <cell r="Y79">
            <v>0</v>
          </cell>
          <cell r="Z79">
            <v>0</v>
          </cell>
          <cell r="AA79">
            <v>0</v>
          </cell>
          <cell r="AB79">
            <v>0</v>
          </cell>
          <cell r="AC79">
            <v>0</v>
          </cell>
        </row>
        <row r="80">
          <cell r="A80">
            <v>0</v>
          </cell>
          <cell r="D80">
            <v>0</v>
          </cell>
          <cell r="E80">
            <v>0</v>
          </cell>
          <cell r="F80">
            <v>0</v>
          </cell>
          <cell r="G80">
            <v>0</v>
          </cell>
          <cell r="H80">
            <v>0</v>
          </cell>
          <cell r="I80">
            <v>0</v>
          </cell>
          <cell r="J80">
            <v>0</v>
          </cell>
          <cell r="K80">
            <v>0</v>
          </cell>
          <cell r="L80">
            <v>0</v>
          </cell>
          <cell r="M80">
            <v>0</v>
          </cell>
          <cell r="N80">
            <v>0</v>
          </cell>
          <cell r="O80">
            <v>0</v>
          </cell>
          <cell r="P80">
            <v>0</v>
          </cell>
          <cell r="R80">
            <v>0</v>
          </cell>
          <cell r="S80">
            <v>0</v>
          </cell>
          <cell r="T80">
            <v>0</v>
          </cell>
          <cell r="U80">
            <v>0</v>
          </cell>
          <cell r="V80">
            <v>0</v>
          </cell>
          <cell r="W80">
            <v>0</v>
          </cell>
          <cell r="X80">
            <v>0</v>
          </cell>
          <cell r="Y80">
            <v>0</v>
          </cell>
          <cell r="Z80">
            <v>0</v>
          </cell>
          <cell r="AA80">
            <v>0</v>
          </cell>
          <cell r="AB80">
            <v>0</v>
          </cell>
          <cell r="AC80">
            <v>0</v>
          </cell>
        </row>
        <row r="81">
          <cell r="A81" t="str">
            <v>OB25</v>
          </cell>
          <cell r="B81" t="str">
            <v>Glasbena šola Kranj - Trubarjev trg</v>
          </cell>
          <cell r="C81" t="str">
            <v>Trubarjev trg 3, 4000 Kranj</v>
          </cell>
          <cell r="D81">
            <v>491</v>
          </cell>
          <cell r="E81">
            <v>1949</v>
          </cell>
          <cell r="F81" t="str">
            <v>raba v kWh</v>
          </cell>
          <cell r="G81">
            <v>15080</v>
          </cell>
          <cell r="H81">
            <v>4781</v>
          </cell>
          <cell r="I81">
            <v>6896</v>
          </cell>
          <cell r="J81">
            <v>8829</v>
          </cell>
          <cell r="K81">
            <v>8896.5</v>
          </cell>
          <cell r="L81">
            <v>18.119144602851325</v>
          </cell>
          <cell r="M81">
            <v>8896.5</v>
          </cell>
          <cell r="N81">
            <v>1305.5925000000002</v>
          </cell>
          <cell r="O81">
            <v>18.119144602851325</v>
          </cell>
          <cell r="P81">
            <v>146.75349856685216</v>
          </cell>
          <cell r="Q81">
            <v>0</v>
          </cell>
          <cell r="R81" t="str">
            <v>ZP</v>
          </cell>
          <cell r="S81" t="str">
            <v>raba v kWh</v>
          </cell>
          <cell r="T81">
            <v>25200</v>
          </cell>
          <cell r="U81">
            <v>50400</v>
          </cell>
          <cell r="V81">
            <v>90720</v>
          </cell>
          <cell r="W81">
            <v>37306.080000000002</v>
          </cell>
          <cell r="X81">
            <v>50906.520000000004</v>
          </cell>
          <cell r="Y81">
            <v>103.679266802444</v>
          </cell>
          <cell r="Z81">
            <v>53728.309809104489</v>
          </cell>
          <cell r="AA81">
            <v>3257.6399769870632</v>
          </cell>
          <cell r="AB81">
            <v>109.42629289023317</v>
          </cell>
          <cell r="AC81">
            <v>60.631722616277834</v>
          </cell>
          <cell r="AD81">
            <v>322.36985885462695</v>
          </cell>
          <cell r="AE81">
            <v>3580.0098358416899</v>
          </cell>
        </row>
        <row r="82">
          <cell r="A82">
            <v>0</v>
          </cell>
          <cell r="B82">
            <v>0</v>
          </cell>
          <cell r="C82">
            <v>0</v>
          </cell>
          <cell r="D82">
            <v>0</v>
          </cell>
          <cell r="E82">
            <v>0</v>
          </cell>
          <cell r="F82" t="str">
            <v>stroški v €</v>
          </cell>
          <cell r="G82">
            <v>1966.1700000000003</v>
          </cell>
          <cell r="H82">
            <v>844.66000000000008</v>
          </cell>
          <cell r="I82">
            <v>1074.78</v>
          </cell>
          <cell r="J82">
            <v>1336.7599999999998</v>
          </cell>
          <cell r="K82">
            <v>1305.5925000000002</v>
          </cell>
          <cell r="L82">
            <v>0</v>
          </cell>
          <cell r="M82">
            <v>0</v>
          </cell>
          <cell r="N82">
            <v>0</v>
          </cell>
          <cell r="O82">
            <v>0</v>
          </cell>
          <cell r="P82">
            <v>0</v>
          </cell>
          <cell r="Q82">
            <v>0</v>
          </cell>
          <cell r="R82">
            <v>0</v>
          </cell>
          <cell r="S82" t="str">
            <v>stroški v €</v>
          </cell>
          <cell r="T82">
            <v>2015.45</v>
          </cell>
          <cell r="U82">
            <v>4003.08</v>
          </cell>
          <cell r="V82">
            <v>6327.67</v>
          </cell>
          <cell r="W82">
            <v>0</v>
          </cell>
          <cell r="X82">
            <v>3086.55</v>
          </cell>
          <cell r="Y82">
            <v>0</v>
          </cell>
          <cell r="Z82">
            <v>0</v>
          </cell>
          <cell r="AA82">
            <v>0</v>
          </cell>
          <cell r="AB82">
            <v>0</v>
          </cell>
          <cell r="AC82">
            <v>0</v>
          </cell>
        </row>
        <row r="83">
          <cell r="A83">
            <v>0</v>
          </cell>
          <cell r="D83">
            <v>0</v>
          </cell>
          <cell r="E83">
            <v>0</v>
          </cell>
          <cell r="F83">
            <v>0</v>
          </cell>
          <cell r="G83">
            <v>0</v>
          </cell>
          <cell r="H83">
            <v>0</v>
          </cell>
          <cell r="I83">
            <v>0</v>
          </cell>
          <cell r="J83">
            <v>0</v>
          </cell>
          <cell r="K83">
            <v>0</v>
          </cell>
          <cell r="L83">
            <v>0</v>
          </cell>
          <cell r="M83">
            <v>0</v>
          </cell>
          <cell r="N83">
            <v>0</v>
          </cell>
          <cell r="O83">
            <v>0</v>
          </cell>
          <cell r="P83">
            <v>0</v>
          </cell>
          <cell r="R83">
            <v>0</v>
          </cell>
          <cell r="S83">
            <v>0</v>
          </cell>
          <cell r="T83">
            <v>0</v>
          </cell>
          <cell r="U83">
            <v>0</v>
          </cell>
          <cell r="V83">
            <v>0</v>
          </cell>
          <cell r="W83">
            <v>0</v>
          </cell>
          <cell r="X83">
            <v>0</v>
          </cell>
          <cell r="Y83">
            <v>0</v>
          </cell>
          <cell r="Z83">
            <v>0</v>
          </cell>
          <cell r="AA83">
            <v>0</v>
          </cell>
          <cell r="AB83">
            <v>0</v>
          </cell>
          <cell r="AC83">
            <v>0</v>
          </cell>
        </row>
        <row r="84">
          <cell r="A84" t="str">
            <v>OB26</v>
          </cell>
          <cell r="B84" t="str">
            <v>Ljudska univerza Kranj</v>
          </cell>
          <cell r="C84" t="str">
            <v>Cesta Staneta Žagarja 1, 4000 Kranj</v>
          </cell>
          <cell r="D84">
            <v>1916</v>
          </cell>
          <cell r="E84">
            <v>627</v>
          </cell>
          <cell r="F84" t="str">
            <v>raba v kWh</v>
          </cell>
          <cell r="G84">
            <v>22018</v>
          </cell>
          <cell r="H84">
            <v>25443</v>
          </cell>
          <cell r="I84">
            <v>20935</v>
          </cell>
          <cell r="J84">
            <v>21877</v>
          </cell>
          <cell r="K84">
            <v>22568.25</v>
          </cell>
          <cell r="L84">
            <v>11.778836116910229</v>
          </cell>
          <cell r="M84">
            <v>22568.25</v>
          </cell>
          <cell r="N84">
            <v>2308.7050000000004</v>
          </cell>
          <cell r="O84">
            <v>11.778836116910229</v>
          </cell>
          <cell r="P84">
            <v>102.29880473674301</v>
          </cell>
          <cell r="Q84">
            <v>0</v>
          </cell>
          <cell r="R84" t="str">
            <v>ZP</v>
          </cell>
          <cell r="S84" t="str">
            <v>raba v kWh</v>
          </cell>
          <cell r="T84">
            <v>84667.36</v>
          </cell>
          <cell r="U84">
            <v>71913.919999999998</v>
          </cell>
          <cell r="V84">
            <v>67835.839999999997</v>
          </cell>
          <cell r="W84">
            <v>72697.440000000002</v>
          </cell>
          <cell r="X84">
            <v>74278.64</v>
          </cell>
          <cell r="Y84">
            <v>38.767557411273486</v>
          </cell>
          <cell r="Z84">
            <v>78395.965430733442</v>
          </cell>
          <cell r="AA84">
            <v>4487.2802004043233</v>
          </cell>
          <cell r="AB84">
            <v>40.916474650695953</v>
          </cell>
          <cell r="AC84">
            <v>57.238662420313567</v>
          </cell>
          <cell r="AD84">
            <v>470.37579258440064</v>
          </cell>
          <cell r="AE84">
            <v>470.37579258440064</v>
          </cell>
        </row>
        <row r="85">
          <cell r="A85">
            <v>0</v>
          </cell>
          <cell r="B85">
            <v>0</v>
          </cell>
          <cell r="C85">
            <v>0</v>
          </cell>
          <cell r="D85">
            <v>0</v>
          </cell>
          <cell r="E85">
            <v>0</v>
          </cell>
          <cell r="F85" t="str">
            <v>stroški v €</v>
          </cell>
          <cell r="G85">
            <v>2360.9299999999998</v>
          </cell>
          <cell r="H85">
            <v>2715.2000000000007</v>
          </cell>
          <cell r="I85">
            <v>2185.41</v>
          </cell>
          <cell r="J85">
            <v>1973.2800000000002</v>
          </cell>
          <cell r="K85">
            <v>2308.7050000000004</v>
          </cell>
          <cell r="L85">
            <v>0</v>
          </cell>
          <cell r="M85">
            <v>0</v>
          </cell>
          <cell r="N85">
            <v>0</v>
          </cell>
          <cell r="O85">
            <v>0</v>
          </cell>
          <cell r="P85">
            <v>0</v>
          </cell>
          <cell r="Q85">
            <v>0</v>
          </cell>
          <cell r="R85">
            <v>0</v>
          </cell>
          <cell r="S85" t="str">
            <v>stroški v €</v>
          </cell>
          <cell r="T85">
            <v>5067.33</v>
          </cell>
          <cell r="U85">
            <v>4128.58</v>
          </cell>
          <cell r="V85">
            <v>3728.3400000000006</v>
          </cell>
          <cell r="W85">
            <v>4082.1899999999996</v>
          </cell>
          <cell r="X85">
            <v>4251.6099999999997</v>
          </cell>
          <cell r="Y85">
            <v>0</v>
          </cell>
          <cell r="Z85">
            <v>0</v>
          </cell>
          <cell r="AA85">
            <v>0</v>
          </cell>
          <cell r="AB85">
            <v>0</v>
          </cell>
          <cell r="AC85">
            <v>0</v>
          </cell>
        </row>
        <row r="86">
          <cell r="A86">
            <v>0</v>
          </cell>
          <cell r="D86">
            <v>0</v>
          </cell>
          <cell r="E86">
            <v>0</v>
          </cell>
          <cell r="F86">
            <v>0</v>
          </cell>
          <cell r="G86">
            <v>0</v>
          </cell>
          <cell r="H86">
            <v>0</v>
          </cell>
          <cell r="I86">
            <v>0</v>
          </cell>
          <cell r="J86">
            <v>0</v>
          </cell>
          <cell r="K86">
            <v>0</v>
          </cell>
          <cell r="L86">
            <v>0</v>
          </cell>
          <cell r="M86">
            <v>0</v>
          </cell>
          <cell r="N86">
            <v>0</v>
          </cell>
          <cell r="O86">
            <v>0</v>
          </cell>
          <cell r="P86">
            <v>0</v>
          </cell>
          <cell r="R86">
            <v>0</v>
          </cell>
          <cell r="S86">
            <v>0</v>
          </cell>
          <cell r="T86">
            <v>0</v>
          </cell>
          <cell r="U86">
            <v>0</v>
          </cell>
          <cell r="V86">
            <v>0</v>
          </cell>
          <cell r="W86">
            <v>0</v>
          </cell>
          <cell r="X86">
            <v>0</v>
          </cell>
          <cell r="Y86">
            <v>0</v>
          </cell>
          <cell r="Z86">
            <v>0</v>
          </cell>
          <cell r="AA86">
            <v>0</v>
          </cell>
          <cell r="AB86">
            <v>0</v>
          </cell>
          <cell r="AC86">
            <v>0</v>
          </cell>
        </row>
        <row r="87">
          <cell r="A87" t="str">
            <v>OB27</v>
          </cell>
          <cell r="B87" t="str">
            <v>OŠ Predoslje</v>
          </cell>
          <cell r="C87" t="str">
            <v>Predoslje 17a, 4000 Kranj</v>
          </cell>
          <cell r="D87">
            <v>4992</v>
          </cell>
          <cell r="E87">
            <v>1973</v>
          </cell>
          <cell r="F87" t="str">
            <v>raba v kWh</v>
          </cell>
          <cell r="G87">
            <v>124382</v>
          </cell>
          <cell r="H87">
            <v>132315</v>
          </cell>
          <cell r="I87">
            <v>121851</v>
          </cell>
          <cell r="J87">
            <v>131646</v>
          </cell>
          <cell r="K87">
            <v>127548.5</v>
          </cell>
          <cell r="L87">
            <v>25.550580929487179</v>
          </cell>
          <cell r="M87">
            <v>127548.5</v>
          </cell>
          <cell r="N87">
            <v>15341.187499999998</v>
          </cell>
          <cell r="O87">
            <v>25.550580929487179</v>
          </cell>
          <cell r="P87">
            <v>120.27728667918477</v>
          </cell>
          <cell r="Q87">
            <v>0</v>
          </cell>
          <cell r="R87" t="str">
            <v>biomasa</v>
          </cell>
          <cell r="S87" t="str">
            <v>raba v kWh</v>
          </cell>
          <cell r="T87">
            <v>0</v>
          </cell>
          <cell r="U87">
            <v>0</v>
          </cell>
          <cell r="V87">
            <v>424800</v>
          </cell>
          <cell r="W87">
            <v>350425</v>
          </cell>
          <cell r="X87">
            <v>387612.5</v>
          </cell>
          <cell r="Y87">
            <v>77.646734775641022</v>
          </cell>
          <cell r="Z87">
            <v>409098.17614485358</v>
          </cell>
          <cell r="AA87">
            <v>19963.990995868855</v>
          </cell>
          <cell r="AB87">
            <v>81.950756439273547</v>
          </cell>
          <cell r="AC87">
            <v>48.8</v>
          </cell>
          <cell r="AD87">
            <v>2454.5890568691211</v>
          </cell>
          <cell r="AE87">
            <v>22418.580052737976</v>
          </cell>
        </row>
        <row r="88">
          <cell r="A88">
            <v>0</v>
          </cell>
          <cell r="B88">
            <v>0</v>
          </cell>
          <cell r="C88">
            <v>0</v>
          </cell>
          <cell r="D88">
            <v>0</v>
          </cell>
          <cell r="E88">
            <v>0</v>
          </cell>
          <cell r="F88" t="str">
            <v>stroški v €</v>
          </cell>
          <cell r="G88">
            <v>15936.380000000001</v>
          </cell>
          <cell r="H88">
            <v>15567.91</v>
          </cell>
          <cell r="I88">
            <v>14157.739999999998</v>
          </cell>
          <cell r="J88">
            <v>15702.720000000001</v>
          </cell>
          <cell r="K88">
            <v>15341.1875</v>
          </cell>
          <cell r="L88">
            <v>0</v>
          </cell>
          <cell r="M88">
            <v>0</v>
          </cell>
          <cell r="N88">
            <v>0</v>
          </cell>
          <cell r="O88">
            <v>0</v>
          </cell>
          <cell r="P88">
            <v>0</v>
          </cell>
          <cell r="Q88">
            <v>0</v>
          </cell>
          <cell r="R88">
            <v>0</v>
          </cell>
          <cell r="S88" t="str">
            <v>stroški v €</v>
          </cell>
          <cell r="T88">
            <v>0</v>
          </cell>
          <cell r="U88">
            <v>0</v>
          </cell>
          <cell r="V88">
            <v>20730.239999999998</v>
          </cell>
          <cell r="W88">
            <v>17100.740000000002</v>
          </cell>
          <cell r="X88">
            <v>18915.489999999998</v>
          </cell>
          <cell r="Y88">
            <v>0</v>
          </cell>
          <cell r="Z88">
            <v>0</v>
          </cell>
          <cell r="AA88">
            <v>0</v>
          </cell>
          <cell r="AB88">
            <v>0</v>
          </cell>
          <cell r="AC88">
            <v>0</v>
          </cell>
        </row>
        <row r="89">
          <cell r="A89">
            <v>0</v>
          </cell>
          <cell r="D89">
            <v>0</v>
          </cell>
          <cell r="E89">
            <v>0</v>
          </cell>
          <cell r="F89">
            <v>0</v>
          </cell>
          <cell r="G89">
            <v>0</v>
          </cell>
          <cell r="H89">
            <v>0</v>
          </cell>
          <cell r="I89">
            <v>0</v>
          </cell>
          <cell r="J89">
            <v>0</v>
          </cell>
          <cell r="K89">
            <v>0</v>
          </cell>
          <cell r="L89">
            <v>0</v>
          </cell>
          <cell r="M89">
            <v>0</v>
          </cell>
          <cell r="N89">
            <v>0</v>
          </cell>
          <cell r="O89">
            <v>0</v>
          </cell>
          <cell r="P89">
            <v>0</v>
          </cell>
          <cell r="R89">
            <v>0</v>
          </cell>
          <cell r="S89">
            <v>0</v>
          </cell>
          <cell r="T89">
            <v>0</v>
          </cell>
          <cell r="U89">
            <v>0</v>
          </cell>
          <cell r="V89">
            <v>0</v>
          </cell>
          <cell r="W89">
            <v>0</v>
          </cell>
          <cell r="X89">
            <v>0</v>
          </cell>
          <cell r="Y89">
            <v>0</v>
          </cell>
          <cell r="Z89">
            <v>0</v>
          </cell>
          <cell r="AA89">
            <v>0</v>
          </cell>
          <cell r="AB89">
            <v>0</v>
          </cell>
          <cell r="AC89">
            <v>0</v>
          </cell>
        </row>
        <row r="90">
          <cell r="A90" t="str">
            <v>OB28</v>
          </cell>
          <cell r="B90" t="str">
            <v>OŠ Simona Jenka - PŠ Goriče</v>
          </cell>
          <cell r="C90" t="str">
            <v>Goriče 1, 4204 Srednja vas - Goriče</v>
          </cell>
          <cell r="D90">
            <v>112</v>
          </cell>
          <cell r="E90">
            <v>1995</v>
          </cell>
          <cell r="F90" t="str">
            <v>raba v kWh</v>
          </cell>
          <cell r="G90">
            <v>46950</v>
          </cell>
          <cell r="H90">
            <v>39103</v>
          </cell>
          <cell r="I90">
            <v>34622</v>
          </cell>
          <cell r="J90">
            <v>32694</v>
          </cell>
          <cell r="K90">
            <v>38342.25</v>
          </cell>
          <cell r="L90">
            <v>342.34151785714283</v>
          </cell>
          <cell r="M90">
            <v>38342.25</v>
          </cell>
          <cell r="N90">
            <v>4676.2175000000007</v>
          </cell>
          <cell r="O90">
            <v>342.34151785714283</v>
          </cell>
          <cell r="P90">
            <v>121.95991367225452</v>
          </cell>
          <cell r="Q90">
            <v>0</v>
          </cell>
          <cell r="R90" t="str">
            <v>ZP</v>
          </cell>
          <cell r="S90" t="str">
            <v>raba v kWh</v>
          </cell>
          <cell r="T90">
            <v>122088.96000000001</v>
          </cell>
          <cell r="U90">
            <v>77646.240000000005</v>
          </cell>
          <cell r="V90">
            <v>110890.08</v>
          </cell>
          <cell r="W90">
            <v>80660.160000000003</v>
          </cell>
          <cell r="X90">
            <v>97821.360000000015</v>
          </cell>
          <cell r="Y90">
            <v>873.40500000000009</v>
          </cell>
          <cell r="Z90">
            <v>103243.67754912224</v>
          </cell>
          <cell r="AA90">
            <v>7480.4371312935982</v>
          </cell>
          <cell r="AB90">
            <v>921.8185495457343</v>
          </cell>
          <cell r="AC90">
            <v>72.454190986508465</v>
          </cell>
          <cell r="AD90">
            <v>619.46206529473341</v>
          </cell>
          <cell r="AE90">
            <v>8099.8991965883315</v>
          </cell>
        </row>
        <row r="91">
          <cell r="A91">
            <v>0</v>
          </cell>
          <cell r="B91">
            <v>0</v>
          </cell>
          <cell r="C91">
            <v>0</v>
          </cell>
          <cell r="D91">
            <v>0</v>
          </cell>
          <cell r="E91">
            <v>0</v>
          </cell>
          <cell r="F91" t="str">
            <v>stroški v €</v>
          </cell>
          <cell r="G91">
            <v>5785.01</v>
          </cell>
          <cell r="H91">
            <v>4767.9600000000009</v>
          </cell>
          <cell r="I91">
            <v>3846.2399999999993</v>
          </cell>
          <cell r="J91">
            <v>4305.66</v>
          </cell>
          <cell r="K91">
            <v>4676.2175000000007</v>
          </cell>
          <cell r="L91">
            <v>0</v>
          </cell>
          <cell r="M91">
            <v>0</v>
          </cell>
          <cell r="N91">
            <v>0</v>
          </cell>
          <cell r="O91">
            <v>0</v>
          </cell>
          <cell r="P91">
            <v>0</v>
          </cell>
          <cell r="Q91">
            <v>0</v>
          </cell>
          <cell r="R91">
            <v>0</v>
          </cell>
          <cell r="S91" t="str">
            <v>stroški v €</v>
          </cell>
          <cell r="T91">
            <v>9797.48</v>
          </cell>
          <cell r="U91">
            <v>6130.43</v>
          </cell>
          <cell r="V91">
            <v>7312.61</v>
          </cell>
          <cell r="W91">
            <v>5109.75</v>
          </cell>
          <cell r="X91">
            <v>7087.5675000000001</v>
          </cell>
          <cell r="Y91">
            <v>0</v>
          </cell>
          <cell r="Z91">
            <v>0</v>
          </cell>
          <cell r="AA91">
            <v>0</v>
          </cell>
          <cell r="AB91">
            <v>0</v>
          </cell>
          <cell r="AC91">
            <v>0</v>
          </cell>
        </row>
        <row r="92">
          <cell r="A92">
            <v>0</v>
          </cell>
          <cell r="D92">
            <v>0</v>
          </cell>
          <cell r="E92">
            <v>0</v>
          </cell>
          <cell r="F92">
            <v>0</v>
          </cell>
          <cell r="G92">
            <v>0</v>
          </cell>
          <cell r="H92">
            <v>0</v>
          </cell>
          <cell r="I92">
            <v>0</v>
          </cell>
          <cell r="J92">
            <v>0</v>
          </cell>
          <cell r="K92">
            <v>0</v>
          </cell>
          <cell r="L92">
            <v>0</v>
          </cell>
          <cell r="M92">
            <v>0</v>
          </cell>
          <cell r="N92">
            <v>0</v>
          </cell>
          <cell r="O92">
            <v>0</v>
          </cell>
          <cell r="P92">
            <v>0</v>
          </cell>
          <cell r="R92">
            <v>0</v>
          </cell>
          <cell r="S92">
            <v>0</v>
          </cell>
          <cell r="T92">
            <v>0</v>
          </cell>
          <cell r="U92">
            <v>0</v>
          </cell>
          <cell r="V92">
            <v>0</v>
          </cell>
          <cell r="W92">
            <v>0</v>
          </cell>
          <cell r="X92">
            <v>0</v>
          </cell>
          <cell r="Y92">
            <v>0</v>
          </cell>
          <cell r="Z92">
            <v>0</v>
          </cell>
          <cell r="AA92">
            <v>0</v>
          </cell>
          <cell r="AB92">
            <v>0</v>
          </cell>
          <cell r="AC92">
            <v>0</v>
          </cell>
        </row>
        <row r="93">
          <cell r="A93" t="str">
            <v>OB29</v>
          </cell>
          <cell r="B93" t="str">
            <v>OŠ Mavčiče</v>
          </cell>
          <cell r="C93" t="str">
            <v>Mavčiče 61, 4211 Mavčiče</v>
          </cell>
          <cell r="D93">
            <v>375</v>
          </cell>
          <cell r="E93">
            <v>1992</v>
          </cell>
          <cell r="F93" t="str">
            <v>raba v kWh</v>
          </cell>
          <cell r="G93">
            <v>19636</v>
          </cell>
          <cell r="H93">
            <v>27167</v>
          </cell>
          <cell r="I93">
            <v>27274</v>
          </cell>
          <cell r="J93">
            <v>0</v>
          </cell>
          <cell r="K93">
            <v>24692.333333333332</v>
          </cell>
          <cell r="L93">
            <v>65.846222222222224</v>
          </cell>
          <cell r="M93">
            <v>24692.333333333332</v>
          </cell>
          <cell r="N93">
            <v>2936.8166666666662</v>
          </cell>
          <cell r="O93">
            <v>65.846222222222224</v>
          </cell>
          <cell r="P93">
            <v>118.93637701310797</v>
          </cell>
          <cell r="Q93">
            <v>0</v>
          </cell>
          <cell r="R93" t="str">
            <v>ELKO</v>
          </cell>
          <cell r="S93" t="str">
            <v>raba v kWh</v>
          </cell>
          <cell r="T93">
            <v>59552.639999999999</v>
          </cell>
          <cell r="U93">
            <v>92856.960000000006</v>
          </cell>
          <cell r="V93">
            <v>95981.759999999995</v>
          </cell>
          <cell r="W93">
            <v>0</v>
          </cell>
          <cell r="X93">
            <v>82797.119999999995</v>
          </cell>
          <cell r="Y93">
            <v>220.79231999999999</v>
          </cell>
          <cell r="Z93">
            <v>87386.631705754015</v>
          </cell>
          <cell r="AA93">
            <v>6459.3210122495948</v>
          </cell>
          <cell r="AB93">
            <v>233.0310178820107</v>
          </cell>
          <cell r="AC93">
            <v>73.91658067333745</v>
          </cell>
          <cell r="AD93">
            <v>524.31979023452402</v>
          </cell>
          <cell r="AE93">
            <v>524.31979023452402</v>
          </cell>
        </row>
        <row r="94">
          <cell r="A94">
            <v>0</v>
          </cell>
          <cell r="B94">
            <v>0</v>
          </cell>
          <cell r="C94">
            <v>0</v>
          </cell>
          <cell r="D94">
            <v>0</v>
          </cell>
          <cell r="E94">
            <v>0</v>
          </cell>
          <cell r="F94" t="str">
            <v>stroški v €</v>
          </cell>
          <cell r="G94">
            <v>2682.4700000000003</v>
          </cell>
          <cell r="H94">
            <v>3147.36</v>
          </cell>
          <cell r="I94">
            <v>2980.619999999999</v>
          </cell>
          <cell r="J94">
            <v>0</v>
          </cell>
          <cell r="K94">
            <v>2936.8166666666662</v>
          </cell>
          <cell r="L94">
            <v>0</v>
          </cell>
          <cell r="M94">
            <v>0</v>
          </cell>
          <cell r="N94">
            <v>0</v>
          </cell>
          <cell r="O94">
            <v>0</v>
          </cell>
          <cell r="P94">
            <v>0</v>
          </cell>
          <cell r="Q94">
            <v>0</v>
          </cell>
          <cell r="R94">
            <v>0</v>
          </cell>
          <cell r="S94" t="str">
            <v>stroški v €</v>
          </cell>
          <cell r="T94">
            <v>4777.9799999999996</v>
          </cell>
          <cell r="U94">
            <v>7341.6500000000005</v>
          </cell>
          <cell r="V94">
            <v>6240.6100000000006</v>
          </cell>
          <cell r="W94">
            <v>0</v>
          </cell>
          <cell r="X94">
            <v>6120.0800000000008</v>
          </cell>
          <cell r="Y94">
            <v>0</v>
          </cell>
          <cell r="Z94">
            <v>0</v>
          </cell>
          <cell r="AA94">
            <v>0</v>
          </cell>
          <cell r="AB94">
            <v>0</v>
          </cell>
          <cell r="AC94">
            <v>0</v>
          </cell>
        </row>
        <row r="95">
          <cell r="A95">
            <v>0</v>
          </cell>
          <cell r="D95">
            <v>0</v>
          </cell>
          <cell r="E95">
            <v>0</v>
          </cell>
          <cell r="F95">
            <v>0</v>
          </cell>
          <cell r="G95">
            <v>0</v>
          </cell>
          <cell r="H95">
            <v>0</v>
          </cell>
          <cell r="I95">
            <v>0</v>
          </cell>
          <cell r="J95">
            <v>0</v>
          </cell>
          <cell r="K95">
            <v>0</v>
          </cell>
          <cell r="L95">
            <v>0</v>
          </cell>
          <cell r="M95">
            <v>0</v>
          </cell>
          <cell r="N95">
            <v>0</v>
          </cell>
          <cell r="O95">
            <v>0</v>
          </cell>
          <cell r="P95">
            <v>0</v>
          </cell>
          <cell r="R95">
            <v>0</v>
          </cell>
          <cell r="S95">
            <v>0</v>
          </cell>
          <cell r="T95">
            <v>0</v>
          </cell>
          <cell r="U95">
            <v>0</v>
          </cell>
          <cell r="V95">
            <v>0</v>
          </cell>
          <cell r="W95">
            <v>0</v>
          </cell>
          <cell r="X95">
            <v>0</v>
          </cell>
          <cell r="Y95">
            <v>0</v>
          </cell>
          <cell r="Z95">
            <v>0</v>
          </cell>
          <cell r="AA95">
            <v>0</v>
          </cell>
          <cell r="AB95">
            <v>0</v>
          </cell>
          <cell r="AC95">
            <v>0</v>
          </cell>
        </row>
        <row r="96">
          <cell r="A96" t="str">
            <v>OB30</v>
          </cell>
          <cell r="B96" t="str">
            <v>VVZ Čenča</v>
          </cell>
          <cell r="C96" t="str">
            <v>Oprešnikova 4a, 4000 Kranj</v>
          </cell>
          <cell r="D96">
            <v>248</v>
          </cell>
          <cell r="E96">
            <v>1973</v>
          </cell>
          <cell r="F96" t="str">
            <v>raba v kWh</v>
          </cell>
          <cell r="G96">
            <v>9943</v>
          </cell>
          <cell r="H96">
            <v>9554</v>
          </cell>
          <cell r="I96">
            <v>10090</v>
          </cell>
          <cell r="J96">
            <v>9700</v>
          </cell>
          <cell r="K96">
            <v>9821.75</v>
          </cell>
          <cell r="L96">
            <v>39.603830645161288</v>
          </cell>
          <cell r="M96">
            <v>9821.75</v>
          </cell>
          <cell r="N96">
            <v>904.93500000000017</v>
          </cell>
          <cell r="O96">
            <v>39.603830645161288</v>
          </cell>
          <cell r="P96">
            <v>92.135821009494251</v>
          </cell>
          <cell r="Q96">
            <v>0</v>
          </cell>
          <cell r="R96" t="str">
            <v>ELKO</v>
          </cell>
          <cell r="S96" t="str">
            <v>raba v kWh</v>
          </cell>
          <cell r="T96">
            <v>20170.080000000002</v>
          </cell>
          <cell r="U96">
            <v>58453.919999999998</v>
          </cell>
          <cell r="V96">
            <v>36419.040000000001</v>
          </cell>
          <cell r="W96">
            <v>45400.32</v>
          </cell>
          <cell r="X96">
            <v>38347.68</v>
          </cell>
          <cell r="Y96">
            <v>154.62774193548387</v>
          </cell>
          <cell r="Z96">
            <v>40473.323093002626</v>
          </cell>
          <cell r="AA96">
            <v>3013.244417844614</v>
          </cell>
          <cell r="AB96">
            <v>163.19888343952672</v>
          </cell>
          <cell r="AC96">
            <v>74.450136227276317</v>
          </cell>
          <cell r="AD96">
            <v>242.83993855801575</v>
          </cell>
          <cell r="AE96">
            <v>242.83993855801575</v>
          </cell>
        </row>
        <row r="97">
          <cell r="A97">
            <v>0</v>
          </cell>
          <cell r="B97">
            <v>0</v>
          </cell>
          <cell r="C97">
            <v>0</v>
          </cell>
          <cell r="D97">
            <v>0</v>
          </cell>
          <cell r="E97">
            <v>0</v>
          </cell>
          <cell r="F97" t="str">
            <v>stroški v €</v>
          </cell>
          <cell r="G97">
            <v>1058.0500000000002</v>
          </cell>
          <cell r="H97">
            <v>1072.22</v>
          </cell>
          <cell r="I97">
            <v>752.00999999999988</v>
          </cell>
          <cell r="J97">
            <v>737.45999999999992</v>
          </cell>
          <cell r="K97">
            <v>904.93500000000006</v>
          </cell>
          <cell r="L97">
            <v>0</v>
          </cell>
          <cell r="M97">
            <v>0</v>
          </cell>
          <cell r="N97">
            <v>0</v>
          </cell>
          <cell r="O97">
            <v>0</v>
          </cell>
          <cell r="P97">
            <v>0</v>
          </cell>
          <cell r="Q97">
            <v>0</v>
          </cell>
          <cell r="R97">
            <v>0</v>
          </cell>
          <cell r="S97" t="str">
            <v>stroški v €</v>
          </cell>
          <cell r="T97">
            <v>1590.9</v>
          </cell>
          <cell r="U97">
            <v>4707.2299999999996</v>
          </cell>
          <cell r="V97">
            <v>2266.84</v>
          </cell>
          <cell r="W97">
            <v>3006.4300000000003</v>
          </cell>
          <cell r="X97">
            <v>2854.99</v>
          </cell>
          <cell r="Y97">
            <v>0</v>
          </cell>
          <cell r="Z97">
            <v>0</v>
          </cell>
          <cell r="AA97">
            <v>0</v>
          </cell>
          <cell r="AB97">
            <v>0</v>
          </cell>
          <cell r="AC97">
            <v>0</v>
          </cell>
        </row>
        <row r="98">
          <cell r="A98">
            <v>0</v>
          </cell>
          <cell r="D98">
            <v>0</v>
          </cell>
          <cell r="E98">
            <v>0</v>
          </cell>
          <cell r="F98">
            <v>0</v>
          </cell>
          <cell r="G98">
            <v>0</v>
          </cell>
          <cell r="H98">
            <v>0</v>
          </cell>
          <cell r="I98">
            <v>0</v>
          </cell>
          <cell r="J98">
            <v>0</v>
          </cell>
          <cell r="K98">
            <v>0</v>
          </cell>
          <cell r="L98">
            <v>0</v>
          </cell>
          <cell r="M98">
            <v>0</v>
          </cell>
          <cell r="N98">
            <v>0</v>
          </cell>
          <cell r="O98">
            <v>0</v>
          </cell>
          <cell r="P98">
            <v>0</v>
          </cell>
          <cell r="R98">
            <v>0</v>
          </cell>
          <cell r="S98">
            <v>0</v>
          </cell>
          <cell r="T98">
            <v>0</v>
          </cell>
          <cell r="U98">
            <v>0</v>
          </cell>
          <cell r="V98">
            <v>0</v>
          </cell>
          <cell r="W98">
            <v>0</v>
          </cell>
          <cell r="X98">
            <v>0</v>
          </cell>
          <cell r="Y98">
            <v>0</v>
          </cell>
          <cell r="Z98">
            <v>0</v>
          </cell>
          <cell r="AA98">
            <v>0</v>
          </cell>
          <cell r="AB98">
            <v>0</v>
          </cell>
          <cell r="AC98">
            <v>0</v>
          </cell>
        </row>
        <row r="99">
          <cell r="A99" t="str">
            <v>OB31</v>
          </cell>
          <cell r="B99" t="str">
            <v>VVZ Ciciban</v>
          </cell>
          <cell r="C99" t="str">
            <v>Likozarjeva 22, 4000 Kranj</v>
          </cell>
          <cell r="D99">
            <v>134</v>
          </cell>
          <cell r="E99">
            <v>1959</v>
          </cell>
          <cell r="F99" t="str">
            <v>raba v kWh</v>
          </cell>
          <cell r="G99">
            <v>0</v>
          </cell>
          <cell r="H99">
            <v>0</v>
          </cell>
          <cell r="I99">
            <v>0</v>
          </cell>
          <cell r="J99">
            <v>4580</v>
          </cell>
          <cell r="K99">
            <v>4580</v>
          </cell>
          <cell r="L99">
            <v>34.179104477611943</v>
          </cell>
          <cell r="M99">
            <v>4580</v>
          </cell>
          <cell r="N99">
            <v>373.86</v>
          </cell>
          <cell r="O99">
            <v>34.179104477611943</v>
          </cell>
          <cell r="P99">
            <v>81.62882096069869</v>
          </cell>
          <cell r="Q99">
            <v>0</v>
          </cell>
          <cell r="R99" t="str">
            <v>ELKO</v>
          </cell>
          <cell r="S99" t="str">
            <v>raba v kWh</v>
          </cell>
          <cell r="T99">
            <v>0</v>
          </cell>
          <cell r="U99">
            <v>0</v>
          </cell>
          <cell r="V99">
            <v>0</v>
          </cell>
          <cell r="W99">
            <v>28405.439999999999</v>
          </cell>
          <cell r="X99">
            <v>28405.439999999999</v>
          </cell>
          <cell r="Y99">
            <v>211.98089552238804</v>
          </cell>
          <cell r="Z99">
            <v>29979.976643147653</v>
          </cell>
          <cell r="AA99">
            <v>1681.1007538334916</v>
          </cell>
          <cell r="AB99">
            <v>223.73116897871384</v>
          </cell>
          <cell r="AC99">
            <v>56.074118197077745</v>
          </cell>
          <cell r="AD99">
            <v>179.87985985888594</v>
          </cell>
          <cell r="AE99">
            <v>1860.9806136923776</v>
          </cell>
        </row>
        <row r="100">
          <cell r="A100">
            <v>0</v>
          </cell>
          <cell r="B100">
            <v>0</v>
          </cell>
          <cell r="C100">
            <v>0</v>
          </cell>
          <cell r="D100">
            <v>0</v>
          </cell>
          <cell r="E100">
            <v>0</v>
          </cell>
          <cell r="F100" t="str">
            <v>stroški v €</v>
          </cell>
          <cell r="G100">
            <v>0</v>
          </cell>
          <cell r="H100">
            <v>0</v>
          </cell>
          <cell r="I100">
            <v>0</v>
          </cell>
          <cell r="J100">
            <v>373.86</v>
          </cell>
          <cell r="K100">
            <v>373.86</v>
          </cell>
          <cell r="L100">
            <v>0</v>
          </cell>
          <cell r="M100">
            <v>0</v>
          </cell>
          <cell r="N100">
            <v>0</v>
          </cell>
          <cell r="O100">
            <v>0</v>
          </cell>
          <cell r="P100">
            <v>0</v>
          </cell>
          <cell r="Q100">
            <v>0</v>
          </cell>
          <cell r="R100">
            <v>0</v>
          </cell>
          <cell r="S100" t="str">
            <v>stroški v €</v>
          </cell>
          <cell r="T100">
            <v>0</v>
          </cell>
          <cell r="U100">
            <v>0</v>
          </cell>
          <cell r="V100">
            <v>0</v>
          </cell>
          <cell r="W100">
            <v>1592.81</v>
          </cell>
          <cell r="X100">
            <v>1592.81</v>
          </cell>
          <cell r="Y100">
            <v>0</v>
          </cell>
          <cell r="Z100">
            <v>0</v>
          </cell>
          <cell r="AA100">
            <v>0</v>
          </cell>
          <cell r="AB100">
            <v>0</v>
          </cell>
          <cell r="AC100">
            <v>0</v>
          </cell>
        </row>
        <row r="101">
          <cell r="A101">
            <v>0</v>
          </cell>
          <cell r="D101">
            <v>0</v>
          </cell>
          <cell r="E101">
            <v>0</v>
          </cell>
          <cell r="F101">
            <v>0</v>
          </cell>
          <cell r="G101">
            <v>0</v>
          </cell>
          <cell r="H101">
            <v>0</v>
          </cell>
          <cell r="I101">
            <v>0</v>
          </cell>
          <cell r="J101">
            <v>0</v>
          </cell>
          <cell r="K101">
            <v>0</v>
          </cell>
          <cell r="L101">
            <v>0</v>
          </cell>
          <cell r="M101">
            <v>0</v>
          </cell>
          <cell r="N101">
            <v>0</v>
          </cell>
          <cell r="O101">
            <v>0</v>
          </cell>
          <cell r="P101">
            <v>0</v>
          </cell>
          <cell r="R101">
            <v>0</v>
          </cell>
          <cell r="S101">
            <v>0</v>
          </cell>
          <cell r="T101">
            <v>0</v>
          </cell>
          <cell r="U101">
            <v>0</v>
          </cell>
          <cell r="V101">
            <v>0</v>
          </cell>
          <cell r="W101">
            <v>0</v>
          </cell>
          <cell r="X101">
            <v>0</v>
          </cell>
          <cell r="Y101">
            <v>0</v>
          </cell>
          <cell r="Z101">
            <v>0</v>
          </cell>
          <cell r="AA101">
            <v>0</v>
          </cell>
          <cell r="AB101">
            <v>0</v>
          </cell>
          <cell r="AC101">
            <v>0</v>
          </cell>
        </row>
        <row r="102">
          <cell r="A102" t="str">
            <v>OB32</v>
          </cell>
          <cell r="B102" t="str">
            <v>VVZ Čira Čara</v>
          </cell>
          <cell r="C102" t="str">
            <v>Staneta Žagarja 6, 4000 Kranj</v>
          </cell>
          <cell r="D102">
            <v>382</v>
          </cell>
          <cell r="E102">
            <v>1947</v>
          </cell>
          <cell r="F102" t="str">
            <v>raba v kWh</v>
          </cell>
          <cell r="G102">
            <v>0</v>
          </cell>
          <cell r="H102">
            <v>0</v>
          </cell>
          <cell r="I102">
            <v>0</v>
          </cell>
          <cell r="J102">
            <v>22200</v>
          </cell>
          <cell r="K102">
            <v>22200</v>
          </cell>
          <cell r="L102">
            <v>58.1151832460733</v>
          </cell>
          <cell r="M102">
            <v>22200</v>
          </cell>
          <cell r="N102">
            <v>1375.66</v>
          </cell>
          <cell r="O102">
            <v>58.1151832460733</v>
          </cell>
          <cell r="P102">
            <v>61.966666666666669</v>
          </cell>
          <cell r="Q102">
            <v>0</v>
          </cell>
          <cell r="R102" t="str">
            <v>ELKO</v>
          </cell>
          <cell r="S102" t="str">
            <v>raba v kWh</v>
          </cell>
          <cell r="T102">
            <v>0</v>
          </cell>
          <cell r="U102">
            <v>0</v>
          </cell>
          <cell r="V102">
            <v>0</v>
          </cell>
          <cell r="W102">
            <v>70570.080000000002</v>
          </cell>
          <cell r="X102">
            <v>70570.080000000002</v>
          </cell>
          <cell r="Y102">
            <v>184.73842931937173</v>
          </cell>
          <cell r="Z102">
            <v>74481.836933526167</v>
          </cell>
          <cell r="AA102">
            <v>4560.9070539445611</v>
          </cell>
          <cell r="AB102">
            <v>194.97863071603709</v>
          </cell>
          <cell r="AC102">
            <v>61.235158015975038</v>
          </cell>
          <cell r="AD102">
            <v>446.89102160115704</v>
          </cell>
          <cell r="AE102">
            <v>5007.7980755457183</v>
          </cell>
        </row>
        <row r="103">
          <cell r="A103">
            <v>0</v>
          </cell>
          <cell r="B103">
            <v>0</v>
          </cell>
          <cell r="C103">
            <v>0</v>
          </cell>
          <cell r="D103">
            <v>0</v>
          </cell>
          <cell r="E103">
            <v>0</v>
          </cell>
          <cell r="F103" t="str">
            <v>stroški v €</v>
          </cell>
          <cell r="G103">
            <v>0</v>
          </cell>
          <cell r="H103">
            <v>0</v>
          </cell>
          <cell r="I103">
            <v>0</v>
          </cell>
          <cell r="J103">
            <v>1375.66</v>
          </cell>
          <cell r="K103">
            <v>1375.66</v>
          </cell>
          <cell r="L103">
            <v>0</v>
          </cell>
          <cell r="M103">
            <v>0</v>
          </cell>
          <cell r="N103">
            <v>0</v>
          </cell>
          <cell r="O103">
            <v>0</v>
          </cell>
          <cell r="P103">
            <v>0</v>
          </cell>
          <cell r="Q103">
            <v>0</v>
          </cell>
          <cell r="R103">
            <v>0</v>
          </cell>
          <cell r="S103" t="str">
            <v>stroški v €</v>
          </cell>
          <cell r="T103">
            <v>0</v>
          </cell>
          <cell r="U103">
            <v>0</v>
          </cell>
          <cell r="V103">
            <v>0</v>
          </cell>
          <cell r="W103">
            <v>4321.37</v>
          </cell>
          <cell r="X103">
            <v>4321.37</v>
          </cell>
          <cell r="Y103">
            <v>0</v>
          </cell>
          <cell r="Z103">
            <v>0</v>
          </cell>
          <cell r="AA103">
            <v>0</v>
          </cell>
          <cell r="AB103">
            <v>0</v>
          </cell>
          <cell r="AC103">
            <v>0</v>
          </cell>
        </row>
        <row r="104">
          <cell r="A104">
            <v>0</v>
          </cell>
          <cell r="D104">
            <v>0</v>
          </cell>
          <cell r="E104">
            <v>0</v>
          </cell>
          <cell r="F104">
            <v>0</v>
          </cell>
          <cell r="G104">
            <v>0</v>
          </cell>
          <cell r="H104">
            <v>0</v>
          </cell>
          <cell r="I104">
            <v>0</v>
          </cell>
          <cell r="J104">
            <v>0</v>
          </cell>
          <cell r="K104">
            <v>0</v>
          </cell>
          <cell r="L104">
            <v>0</v>
          </cell>
          <cell r="M104">
            <v>0</v>
          </cell>
          <cell r="N104">
            <v>0</v>
          </cell>
          <cell r="O104">
            <v>0</v>
          </cell>
          <cell r="P104">
            <v>0</v>
          </cell>
          <cell r="R104">
            <v>0</v>
          </cell>
          <cell r="S104">
            <v>0</v>
          </cell>
          <cell r="T104">
            <v>0</v>
          </cell>
          <cell r="U104">
            <v>0</v>
          </cell>
          <cell r="V104">
            <v>0</v>
          </cell>
          <cell r="W104">
            <v>0</v>
          </cell>
          <cell r="X104">
            <v>0</v>
          </cell>
          <cell r="Y104">
            <v>0</v>
          </cell>
          <cell r="Z104">
            <v>0</v>
          </cell>
          <cell r="AA104">
            <v>0</v>
          </cell>
          <cell r="AB104">
            <v>0</v>
          </cell>
          <cell r="AC104">
            <v>0</v>
          </cell>
        </row>
        <row r="105">
          <cell r="A105" t="str">
            <v>OB33</v>
          </cell>
          <cell r="B105" t="str">
            <v>VVZ Biba</v>
          </cell>
          <cell r="C105" t="str">
            <v>Zg. Bitnje 266, Zg. Bitnje, 4209 Žabnica</v>
          </cell>
          <cell r="D105">
            <v>175</v>
          </cell>
          <cell r="E105">
            <v>1973</v>
          </cell>
          <cell r="F105" t="str">
            <v>raba v kWh</v>
          </cell>
          <cell r="G105">
            <v>0</v>
          </cell>
          <cell r="H105">
            <v>0</v>
          </cell>
          <cell r="I105">
            <v>0</v>
          </cell>
          <cell r="J105">
            <v>4288</v>
          </cell>
          <cell r="K105">
            <v>4288</v>
          </cell>
          <cell r="L105">
            <v>24.502857142857142</v>
          </cell>
          <cell r="M105">
            <v>4288</v>
          </cell>
          <cell r="N105">
            <v>518.35</v>
          </cell>
          <cell r="O105">
            <v>24.502857142857142</v>
          </cell>
          <cell r="P105">
            <v>120.88386194029852</v>
          </cell>
          <cell r="Q105">
            <v>0</v>
          </cell>
          <cell r="R105" t="str">
            <v>ELKO</v>
          </cell>
          <cell r="S105" t="str">
            <v>raba v kWh</v>
          </cell>
          <cell r="T105">
            <v>0</v>
          </cell>
          <cell r="U105">
            <v>0</v>
          </cell>
          <cell r="V105">
            <v>0</v>
          </cell>
          <cell r="W105">
            <v>25200</v>
          </cell>
          <cell r="X105">
            <v>25200</v>
          </cell>
          <cell r="Y105">
            <v>144</v>
          </cell>
          <cell r="Z105">
            <v>26596.856496759807</v>
          </cell>
          <cell r="AA105">
            <v>1628.6669510255938</v>
          </cell>
          <cell r="AB105">
            <v>151.98203712434176</v>
          </cell>
          <cell r="AC105">
            <v>61.235317460317461</v>
          </cell>
          <cell r="AD105">
            <v>159.58113898055885</v>
          </cell>
          <cell r="AE105">
            <v>159.58113898055885</v>
          </cell>
        </row>
        <row r="106">
          <cell r="A106">
            <v>0</v>
          </cell>
          <cell r="B106">
            <v>0</v>
          </cell>
          <cell r="C106">
            <v>0</v>
          </cell>
          <cell r="D106">
            <v>0</v>
          </cell>
          <cell r="E106">
            <v>0</v>
          </cell>
          <cell r="F106" t="str">
            <v>stroški v €</v>
          </cell>
          <cell r="G106">
            <v>0</v>
          </cell>
          <cell r="H106">
            <v>0</v>
          </cell>
          <cell r="I106">
            <v>0</v>
          </cell>
          <cell r="J106">
            <v>518.35</v>
          </cell>
          <cell r="K106">
            <v>518.35</v>
          </cell>
          <cell r="L106">
            <v>0</v>
          </cell>
          <cell r="M106">
            <v>0</v>
          </cell>
          <cell r="N106">
            <v>0</v>
          </cell>
          <cell r="O106">
            <v>0</v>
          </cell>
          <cell r="P106">
            <v>0</v>
          </cell>
          <cell r="Q106">
            <v>0</v>
          </cell>
          <cell r="R106">
            <v>0</v>
          </cell>
          <cell r="S106" t="str">
            <v>stroški v €</v>
          </cell>
          <cell r="T106">
            <v>0</v>
          </cell>
          <cell r="U106">
            <v>0</v>
          </cell>
          <cell r="V106">
            <v>0</v>
          </cell>
          <cell r="W106">
            <v>1543.13</v>
          </cell>
          <cell r="X106">
            <v>1543.13</v>
          </cell>
          <cell r="Y106">
            <v>0</v>
          </cell>
          <cell r="Z106">
            <v>0</v>
          </cell>
          <cell r="AA106">
            <v>0</v>
          </cell>
          <cell r="AB106">
            <v>0</v>
          </cell>
          <cell r="AC106">
            <v>0</v>
          </cell>
        </row>
        <row r="107">
          <cell r="A107">
            <v>0</v>
          </cell>
          <cell r="D107">
            <v>0</v>
          </cell>
          <cell r="E107">
            <v>0</v>
          </cell>
          <cell r="F107">
            <v>0</v>
          </cell>
          <cell r="G107">
            <v>0</v>
          </cell>
          <cell r="H107">
            <v>0</v>
          </cell>
          <cell r="I107">
            <v>0</v>
          </cell>
          <cell r="J107">
            <v>0</v>
          </cell>
          <cell r="K107">
            <v>0</v>
          </cell>
          <cell r="L107">
            <v>0</v>
          </cell>
          <cell r="M107">
            <v>0</v>
          </cell>
          <cell r="N107">
            <v>0</v>
          </cell>
          <cell r="O107">
            <v>0</v>
          </cell>
          <cell r="P107">
            <v>0</v>
          </cell>
          <cell r="R107">
            <v>0</v>
          </cell>
          <cell r="S107">
            <v>0</v>
          </cell>
          <cell r="T107">
            <v>0</v>
          </cell>
          <cell r="U107">
            <v>0</v>
          </cell>
          <cell r="V107">
            <v>0</v>
          </cell>
          <cell r="W107">
            <v>0</v>
          </cell>
          <cell r="X107">
            <v>0</v>
          </cell>
          <cell r="Y107">
            <v>0</v>
          </cell>
          <cell r="Z107">
            <v>0</v>
          </cell>
          <cell r="AA107">
            <v>0</v>
          </cell>
          <cell r="AB107">
            <v>0</v>
          </cell>
          <cell r="AC107">
            <v>0</v>
          </cell>
        </row>
        <row r="108">
          <cell r="A108" t="str">
            <v>OB34</v>
          </cell>
          <cell r="B108" t="str">
            <v>VVZ Kekec</v>
          </cell>
          <cell r="C108" t="str">
            <v>Cesta Kokrškega odreda 9, 4000 Kranj</v>
          </cell>
          <cell r="D108">
            <v>282</v>
          </cell>
          <cell r="E108">
            <v>1959</v>
          </cell>
          <cell r="F108" t="str">
            <v>raba v kWh</v>
          </cell>
          <cell r="G108">
            <v>0</v>
          </cell>
          <cell r="H108">
            <v>0</v>
          </cell>
          <cell r="I108">
            <v>0</v>
          </cell>
          <cell r="J108">
            <v>10032</v>
          </cell>
          <cell r="K108">
            <v>10032</v>
          </cell>
          <cell r="L108">
            <v>35.574468085106382</v>
          </cell>
          <cell r="M108">
            <v>10032</v>
          </cell>
          <cell r="N108">
            <v>770.33</v>
          </cell>
          <cell r="O108">
            <v>35.574468085106382</v>
          </cell>
          <cell r="P108">
            <v>76.787280701754383</v>
          </cell>
          <cell r="Q108">
            <v>0</v>
          </cell>
          <cell r="R108" t="str">
            <v>ELKO</v>
          </cell>
          <cell r="S108" t="str">
            <v>raba v kWh</v>
          </cell>
          <cell r="T108">
            <v>0</v>
          </cell>
          <cell r="U108">
            <v>0</v>
          </cell>
          <cell r="V108">
            <v>0</v>
          </cell>
          <cell r="W108">
            <v>47648.160000000003</v>
          </cell>
          <cell r="X108">
            <v>47648.160000000003</v>
          </cell>
          <cell r="Y108">
            <v>168.96510638297875</v>
          </cell>
          <cell r="Z108">
            <v>50289.336264073449</v>
          </cell>
          <cell r="AA108">
            <v>2802.4010042589907</v>
          </cell>
          <cell r="AB108">
            <v>178.33097965983492</v>
          </cell>
          <cell r="AC108">
            <v>55.725551626757458</v>
          </cell>
          <cell r="AD108">
            <v>301.73601758444073</v>
          </cell>
          <cell r="AE108">
            <v>3104.1370218434313</v>
          </cell>
        </row>
        <row r="109">
          <cell r="A109">
            <v>0</v>
          </cell>
          <cell r="B109">
            <v>0</v>
          </cell>
          <cell r="C109">
            <v>0</v>
          </cell>
          <cell r="D109">
            <v>0</v>
          </cell>
          <cell r="E109">
            <v>0</v>
          </cell>
          <cell r="F109" t="str">
            <v>stroški v €</v>
          </cell>
          <cell r="G109">
            <v>0</v>
          </cell>
          <cell r="H109">
            <v>0</v>
          </cell>
          <cell r="I109">
            <v>0</v>
          </cell>
          <cell r="J109">
            <v>770.33</v>
          </cell>
          <cell r="K109">
            <v>770.33</v>
          </cell>
          <cell r="L109">
            <v>0</v>
          </cell>
          <cell r="M109">
            <v>0</v>
          </cell>
          <cell r="N109">
            <v>0</v>
          </cell>
          <cell r="O109">
            <v>0</v>
          </cell>
          <cell r="P109">
            <v>0</v>
          </cell>
          <cell r="Q109">
            <v>0</v>
          </cell>
          <cell r="R109">
            <v>0</v>
          </cell>
          <cell r="S109" t="str">
            <v>stroški v €</v>
          </cell>
          <cell r="T109">
            <v>0</v>
          </cell>
          <cell r="U109">
            <v>0</v>
          </cell>
          <cell r="V109">
            <v>0</v>
          </cell>
          <cell r="W109">
            <v>2655.22</v>
          </cell>
          <cell r="X109">
            <v>2655.22</v>
          </cell>
          <cell r="Y109">
            <v>0</v>
          </cell>
          <cell r="Z109">
            <v>0</v>
          </cell>
          <cell r="AA109">
            <v>0</v>
          </cell>
          <cell r="AB109">
            <v>0</v>
          </cell>
          <cell r="AC109">
            <v>0</v>
          </cell>
        </row>
        <row r="110">
          <cell r="A110">
            <v>0</v>
          </cell>
          <cell r="D110">
            <v>0</v>
          </cell>
          <cell r="E110">
            <v>0</v>
          </cell>
          <cell r="F110">
            <v>0</v>
          </cell>
          <cell r="G110">
            <v>0</v>
          </cell>
          <cell r="H110">
            <v>0</v>
          </cell>
          <cell r="I110">
            <v>0</v>
          </cell>
          <cell r="J110">
            <v>0</v>
          </cell>
          <cell r="K110">
            <v>0</v>
          </cell>
          <cell r="L110">
            <v>0</v>
          </cell>
          <cell r="M110">
            <v>0</v>
          </cell>
          <cell r="N110">
            <v>0</v>
          </cell>
          <cell r="O110">
            <v>0</v>
          </cell>
          <cell r="P110">
            <v>0</v>
          </cell>
          <cell r="R110">
            <v>0</v>
          </cell>
          <cell r="S110">
            <v>0</v>
          </cell>
          <cell r="T110">
            <v>0</v>
          </cell>
          <cell r="U110">
            <v>0</v>
          </cell>
          <cell r="V110">
            <v>0</v>
          </cell>
          <cell r="W110">
            <v>0</v>
          </cell>
          <cell r="X110">
            <v>0</v>
          </cell>
          <cell r="Y110">
            <v>0</v>
          </cell>
          <cell r="Z110">
            <v>0</v>
          </cell>
          <cell r="AA110">
            <v>0</v>
          </cell>
          <cell r="AB110">
            <v>0</v>
          </cell>
          <cell r="AC110">
            <v>0</v>
          </cell>
        </row>
        <row r="111">
          <cell r="A111" t="str">
            <v>OB35</v>
          </cell>
          <cell r="B111" t="str">
            <v>Splošna ambulanta Stražišče</v>
          </cell>
          <cell r="C111" t="str">
            <v>Baragov trg 2, 4000 Kranj</v>
          </cell>
          <cell r="D111">
            <v>721</v>
          </cell>
          <cell r="E111">
            <v>1980</v>
          </cell>
          <cell r="F111" t="str">
            <v>raba v kWh</v>
          </cell>
          <cell r="G111">
            <v>26769</v>
          </cell>
          <cell r="H111">
            <v>27159</v>
          </cell>
          <cell r="I111">
            <v>21099</v>
          </cell>
          <cell r="J111">
            <v>18743</v>
          </cell>
          <cell r="K111">
            <v>23442.5</v>
          </cell>
          <cell r="L111">
            <v>32.513869625520108</v>
          </cell>
          <cell r="M111">
            <v>23442.5</v>
          </cell>
          <cell r="N111">
            <v>1678.2200000000003</v>
          </cell>
          <cell r="O111">
            <v>32.513869625520108</v>
          </cell>
          <cell r="P111">
            <v>71.588781060040532</v>
          </cell>
          <cell r="Q111">
            <v>0</v>
          </cell>
          <cell r="R111" t="str">
            <v>ZP</v>
          </cell>
          <cell r="S111" t="str">
            <v>raba v kWh</v>
          </cell>
          <cell r="T111">
            <v>95570.559999999998</v>
          </cell>
          <cell r="U111">
            <v>66004.479999999996</v>
          </cell>
          <cell r="V111">
            <v>64645.119999999995</v>
          </cell>
          <cell r="W111">
            <v>123956.64</v>
          </cell>
          <cell r="X111">
            <v>75406.719999999987</v>
          </cell>
          <cell r="Y111">
            <v>104.58629680998611</v>
          </cell>
          <cell r="Z111">
            <v>79586.575822672516</v>
          </cell>
          <cell r="AA111">
            <v>3741.7344281524925</v>
          </cell>
          <cell r="AB111">
            <v>110.38360030883844</v>
          </cell>
          <cell r="AC111">
            <v>47.014642726802073</v>
          </cell>
          <cell r="AD111">
            <v>477.51945493603512</v>
          </cell>
          <cell r="AE111">
            <v>4219.2538830885278</v>
          </cell>
        </row>
        <row r="112">
          <cell r="A112">
            <v>0</v>
          </cell>
          <cell r="B112">
            <v>0</v>
          </cell>
          <cell r="C112">
            <v>0</v>
          </cell>
          <cell r="D112">
            <v>0</v>
          </cell>
          <cell r="E112">
            <v>0</v>
          </cell>
          <cell r="F112" t="str">
            <v>stroški v €</v>
          </cell>
          <cell r="G112">
            <v>0</v>
          </cell>
          <cell r="H112">
            <v>0</v>
          </cell>
          <cell r="I112">
            <v>1686.1799999999998</v>
          </cell>
          <cell r="J112">
            <v>1670.2600000000002</v>
          </cell>
          <cell r="K112">
            <v>1678.22</v>
          </cell>
          <cell r="L112">
            <v>0</v>
          </cell>
          <cell r="M112">
            <v>0</v>
          </cell>
          <cell r="N112">
            <v>0</v>
          </cell>
          <cell r="O112">
            <v>0</v>
          </cell>
          <cell r="P112">
            <v>0</v>
          </cell>
          <cell r="Q112">
            <v>0</v>
          </cell>
          <cell r="R112">
            <v>0</v>
          </cell>
          <cell r="S112" t="str">
            <v>stroški v €</v>
          </cell>
          <cell r="T112">
            <v>0</v>
          </cell>
          <cell r="U112">
            <v>0</v>
          </cell>
          <cell r="V112">
            <v>3545.22</v>
          </cell>
          <cell r="W112">
            <v>6038.4800000000005</v>
          </cell>
          <cell r="X112">
            <v>3545.22</v>
          </cell>
          <cell r="Y112">
            <v>0</v>
          </cell>
          <cell r="Z112">
            <v>0</v>
          </cell>
          <cell r="AA112">
            <v>0</v>
          </cell>
          <cell r="AB112">
            <v>0</v>
          </cell>
          <cell r="AC112">
            <v>0</v>
          </cell>
        </row>
        <row r="113">
          <cell r="A113">
            <v>0</v>
          </cell>
          <cell r="D113">
            <v>0</v>
          </cell>
          <cell r="E113">
            <v>0</v>
          </cell>
          <cell r="F113">
            <v>0</v>
          </cell>
          <cell r="G113">
            <v>0</v>
          </cell>
          <cell r="H113">
            <v>0</v>
          </cell>
          <cell r="I113">
            <v>0</v>
          </cell>
          <cell r="J113">
            <v>0</v>
          </cell>
          <cell r="K113">
            <v>0</v>
          </cell>
          <cell r="L113">
            <v>0</v>
          </cell>
          <cell r="M113">
            <v>0</v>
          </cell>
          <cell r="N113">
            <v>0</v>
          </cell>
          <cell r="O113">
            <v>0</v>
          </cell>
          <cell r="P113">
            <v>0</v>
          </cell>
          <cell r="R113">
            <v>0</v>
          </cell>
          <cell r="S113">
            <v>0</v>
          </cell>
          <cell r="T113">
            <v>0</v>
          </cell>
          <cell r="U113">
            <v>0</v>
          </cell>
          <cell r="V113">
            <v>0</v>
          </cell>
          <cell r="W113">
            <v>0</v>
          </cell>
          <cell r="X113">
            <v>0</v>
          </cell>
          <cell r="Y113">
            <v>0</v>
          </cell>
          <cell r="Z113">
            <v>0</v>
          </cell>
          <cell r="AA113">
            <v>0</v>
          </cell>
          <cell r="AB113">
            <v>0</v>
          </cell>
          <cell r="AC113">
            <v>0</v>
          </cell>
        </row>
        <row r="114">
          <cell r="A114" t="str">
            <v>OB36</v>
          </cell>
          <cell r="B114" t="str">
            <v>OŠ Stražišče</v>
          </cell>
          <cell r="C114" t="str">
            <v>Šolska ulica 2, 4000 Kranj</v>
          </cell>
          <cell r="D114">
            <v>4541</v>
          </cell>
          <cell r="E114">
            <v>1959</v>
          </cell>
          <cell r="F114" t="str">
            <v>raba v kWh</v>
          </cell>
          <cell r="G114">
            <v>126918.76799999998</v>
          </cell>
          <cell r="H114">
            <v>62058.360000000008</v>
          </cell>
          <cell r="I114">
            <v>66620.288</v>
          </cell>
          <cell r="J114">
            <v>105042.92</v>
          </cell>
          <cell r="K114">
            <v>90160.084000000003</v>
          </cell>
          <cell r="L114">
            <v>19.854676062541291</v>
          </cell>
          <cell r="M114">
            <v>90160.084000000003</v>
          </cell>
          <cell r="N114">
            <v>6536.6060900000002</v>
          </cell>
          <cell r="O114">
            <v>19.854676062541291</v>
          </cell>
          <cell r="P114">
            <v>72.5</v>
          </cell>
          <cell r="Q114">
            <v>0</v>
          </cell>
          <cell r="R114" t="str">
            <v>ZP</v>
          </cell>
          <cell r="S114" t="str">
            <v>raba v kWh</v>
          </cell>
          <cell r="T114">
            <v>856375.24</v>
          </cell>
          <cell r="U114">
            <v>717143.39999999991</v>
          </cell>
          <cell r="V114">
            <v>714715.16</v>
          </cell>
          <cell r="W114">
            <v>775057.88</v>
          </cell>
          <cell r="X114">
            <v>765822.91999999993</v>
          </cell>
          <cell r="Y114">
            <v>168.64631578947368</v>
          </cell>
          <cell r="Z114">
            <v>808273.10734799854</v>
          </cell>
          <cell r="AA114">
            <v>42611.887667718751</v>
          </cell>
          <cell r="AB114">
            <v>177.99451824443923</v>
          </cell>
          <cell r="AC114">
            <v>52.719665271966534</v>
          </cell>
          <cell r="AD114">
            <v>4849.6386440879905</v>
          </cell>
          <cell r="AE114">
            <v>47461.526311806738</v>
          </cell>
        </row>
        <row r="115">
          <cell r="A115">
            <v>0</v>
          </cell>
          <cell r="B115">
            <v>0</v>
          </cell>
          <cell r="C115">
            <v>0</v>
          </cell>
          <cell r="D115">
            <v>0</v>
          </cell>
          <cell r="E115">
            <v>0</v>
          </cell>
          <cell r="F115" t="str">
            <v>stroški v €</v>
          </cell>
          <cell r="G115">
            <v>9201.6106800000016</v>
          </cell>
          <cell r="H115">
            <v>4499.2310999999991</v>
          </cell>
          <cell r="I115">
            <v>4829.9708799999999</v>
          </cell>
          <cell r="J115">
            <v>7615.6116999999995</v>
          </cell>
          <cell r="K115">
            <v>6536.6060899999993</v>
          </cell>
          <cell r="L115">
            <v>0</v>
          </cell>
          <cell r="M115">
            <v>0</v>
          </cell>
          <cell r="N115">
            <v>0</v>
          </cell>
          <cell r="O115">
            <v>0</v>
          </cell>
          <cell r="P115">
            <v>0</v>
          </cell>
          <cell r="Q115">
            <v>0</v>
          </cell>
          <cell r="R115">
            <v>0</v>
          </cell>
          <cell r="S115" t="str">
            <v>stroški v €</v>
          </cell>
          <cell r="T115">
            <v>45147.815999999999</v>
          </cell>
          <cell r="U115">
            <v>37807.56</v>
          </cell>
          <cell r="V115">
            <v>37679.543999999994</v>
          </cell>
          <cell r="W115">
            <v>40860.792000000001</v>
          </cell>
          <cell r="X115">
            <v>40373.928</v>
          </cell>
          <cell r="Y115">
            <v>0</v>
          </cell>
          <cell r="Z115">
            <v>0</v>
          </cell>
          <cell r="AA115">
            <v>0</v>
          </cell>
          <cell r="AB115">
            <v>0</v>
          </cell>
          <cell r="AC115">
            <v>0</v>
          </cell>
        </row>
        <row r="116">
          <cell r="A116">
            <v>0</v>
          </cell>
          <cell r="D116">
            <v>0</v>
          </cell>
          <cell r="E116">
            <v>0</v>
          </cell>
          <cell r="F116">
            <v>0</v>
          </cell>
          <cell r="G116">
            <v>0</v>
          </cell>
          <cell r="H116">
            <v>0</v>
          </cell>
          <cell r="I116">
            <v>0</v>
          </cell>
          <cell r="J116">
            <v>0</v>
          </cell>
          <cell r="K116">
            <v>0</v>
          </cell>
          <cell r="L116">
            <v>0</v>
          </cell>
          <cell r="M116">
            <v>0</v>
          </cell>
          <cell r="N116">
            <v>0</v>
          </cell>
          <cell r="O116">
            <v>0</v>
          </cell>
          <cell r="P116">
            <v>0</v>
          </cell>
          <cell r="R116">
            <v>0</v>
          </cell>
          <cell r="S116">
            <v>0</v>
          </cell>
          <cell r="T116">
            <v>0</v>
          </cell>
          <cell r="U116">
            <v>0</v>
          </cell>
          <cell r="V116">
            <v>0</v>
          </cell>
          <cell r="W116">
            <v>0</v>
          </cell>
          <cell r="X116">
            <v>0</v>
          </cell>
          <cell r="Y116">
            <v>0</v>
          </cell>
          <cell r="Z116">
            <v>0</v>
          </cell>
          <cell r="AA116">
            <v>0</v>
          </cell>
          <cell r="AB116">
            <v>0</v>
          </cell>
          <cell r="AC116">
            <v>0</v>
          </cell>
        </row>
        <row r="117">
          <cell r="A117" t="str">
            <v>OB37</v>
          </cell>
          <cell r="B117" t="str">
            <v>OŠ Stražišče - PŠ Besnica</v>
          </cell>
          <cell r="C117" t="str">
            <v>V Čepuljah 19, 4201 Zg. Besnica</v>
          </cell>
          <cell r="D117">
            <v>164</v>
          </cell>
          <cell r="E117">
            <v>1992</v>
          </cell>
          <cell r="F117" t="str">
            <v>raba v kWh</v>
          </cell>
          <cell r="G117">
            <v>49445</v>
          </cell>
          <cell r="H117">
            <v>50086</v>
          </cell>
          <cell r="I117">
            <v>52044</v>
          </cell>
          <cell r="J117">
            <v>54583</v>
          </cell>
          <cell r="K117">
            <v>51539.5</v>
          </cell>
          <cell r="L117">
            <v>314.26524390243901</v>
          </cell>
          <cell r="M117">
            <v>51539.5</v>
          </cell>
          <cell r="N117">
            <v>6221</v>
          </cell>
          <cell r="O117">
            <v>314.26524390243901</v>
          </cell>
          <cell r="P117">
            <v>120.70353806303903</v>
          </cell>
          <cell r="Q117">
            <v>0</v>
          </cell>
          <cell r="R117" t="str">
            <v xml:space="preserve">BIOMASA [1] </v>
          </cell>
          <cell r="S117" t="str">
            <v>raba v kWh</v>
          </cell>
          <cell r="T117">
            <v>64551</v>
          </cell>
          <cell r="U117">
            <v>54280</v>
          </cell>
          <cell r="V117">
            <v>67010</v>
          </cell>
          <cell r="W117">
            <v>62150</v>
          </cell>
          <cell r="X117">
            <v>61997.75</v>
          </cell>
          <cell r="Y117">
            <v>378.03506097560978</v>
          </cell>
          <cell r="Z117">
            <v>65434.335709205967</v>
          </cell>
          <cell r="AA117">
            <v>13093.410812884047</v>
          </cell>
          <cell r="AB117">
            <v>398.98985188540223</v>
          </cell>
          <cell r="AC117">
            <v>200.10000362916398</v>
          </cell>
          <cell r="AD117">
            <v>392.60601425523578</v>
          </cell>
          <cell r="AE117">
            <v>13486.016827139283</v>
          </cell>
        </row>
        <row r="118">
          <cell r="A118">
            <v>0</v>
          </cell>
          <cell r="B118">
            <v>0</v>
          </cell>
          <cell r="C118">
            <v>0</v>
          </cell>
          <cell r="D118">
            <v>0</v>
          </cell>
          <cell r="E118">
            <v>0</v>
          </cell>
          <cell r="F118" t="str">
            <v>stroški v €</v>
          </cell>
          <cell r="G118">
            <v>6096</v>
          </cell>
          <cell r="H118">
            <v>6094</v>
          </cell>
          <cell r="I118">
            <v>6329</v>
          </cell>
          <cell r="J118">
            <v>6365</v>
          </cell>
          <cell r="K118">
            <v>6221</v>
          </cell>
          <cell r="L118">
            <v>0</v>
          </cell>
          <cell r="M118">
            <v>0</v>
          </cell>
          <cell r="N118">
            <v>0</v>
          </cell>
          <cell r="O118">
            <v>0</v>
          </cell>
          <cell r="P118">
            <v>0</v>
          </cell>
          <cell r="Q118">
            <v>0</v>
          </cell>
          <cell r="R118">
            <v>0</v>
          </cell>
          <cell r="S118" t="str">
            <v>stroški v €</v>
          </cell>
          <cell r="T118">
            <v>12529</v>
          </cell>
          <cell r="U118">
            <v>12033</v>
          </cell>
          <cell r="V118">
            <v>12624</v>
          </cell>
          <cell r="W118">
            <v>12437</v>
          </cell>
          <cell r="X118">
            <v>12405.75</v>
          </cell>
          <cell r="Y118">
            <v>0</v>
          </cell>
          <cell r="Z118">
            <v>0</v>
          </cell>
          <cell r="AA118">
            <v>0</v>
          </cell>
          <cell r="AB118">
            <v>0</v>
          </cell>
          <cell r="AC118">
            <v>0</v>
          </cell>
        </row>
        <row r="119">
          <cell r="A119">
            <v>0</v>
          </cell>
          <cell r="D119">
            <v>0</v>
          </cell>
          <cell r="E119">
            <v>0</v>
          </cell>
          <cell r="F119">
            <v>0</v>
          </cell>
          <cell r="G119">
            <v>0</v>
          </cell>
          <cell r="H119">
            <v>0</v>
          </cell>
          <cell r="I119">
            <v>0</v>
          </cell>
          <cell r="J119">
            <v>0</v>
          </cell>
          <cell r="K119">
            <v>0</v>
          </cell>
          <cell r="L119">
            <v>0</v>
          </cell>
          <cell r="M119">
            <v>0</v>
          </cell>
          <cell r="N119">
            <v>0</v>
          </cell>
          <cell r="O119">
            <v>0</v>
          </cell>
          <cell r="P119">
            <v>0</v>
          </cell>
          <cell r="R119">
            <v>0</v>
          </cell>
          <cell r="S119">
            <v>0</v>
          </cell>
          <cell r="T119">
            <v>0</v>
          </cell>
          <cell r="U119">
            <v>0</v>
          </cell>
          <cell r="V119">
            <v>0</v>
          </cell>
          <cell r="W119">
            <v>0</v>
          </cell>
          <cell r="X119">
            <v>0</v>
          </cell>
          <cell r="Y119">
            <v>0</v>
          </cell>
          <cell r="Z119">
            <v>0</v>
          </cell>
          <cell r="AA119">
            <v>0</v>
          </cell>
          <cell r="AB119">
            <v>0</v>
          </cell>
          <cell r="AC119">
            <v>0</v>
          </cell>
        </row>
        <row r="120">
          <cell r="A120" t="str">
            <v>OB38</v>
          </cell>
          <cell r="B120" t="str">
            <v>OŠ Stražišče - PŠ Žabnica</v>
          </cell>
          <cell r="C120" t="str">
            <v>Žabnica 20, 4209 Žabnica</v>
          </cell>
          <cell r="D120">
            <v>1104</v>
          </cell>
          <cell r="E120">
            <v>1908</v>
          </cell>
          <cell r="F120" t="str">
            <v>raba v kWh</v>
          </cell>
          <cell r="G120">
            <v>46470</v>
          </cell>
          <cell r="H120">
            <v>44400</v>
          </cell>
          <cell r="I120">
            <v>53070</v>
          </cell>
          <cell r="J120">
            <v>49150</v>
          </cell>
          <cell r="K120">
            <v>48272.5</v>
          </cell>
          <cell r="L120">
            <v>43.725090579710148</v>
          </cell>
          <cell r="M120">
            <v>48272.5</v>
          </cell>
          <cell r="N120">
            <v>5558.25</v>
          </cell>
          <cell r="O120">
            <v>43.725090579710148</v>
          </cell>
          <cell r="P120">
            <v>115.14319747268114</v>
          </cell>
          <cell r="Q120">
            <v>0</v>
          </cell>
          <cell r="R120" t="str">
            <v>UNP</v>
          </cell>
          <cell r="S120" t="str">
            <v>raba v kWh</v>
          </cell>
          <cell r="T120">
            <v>41308</v>
          </cell>
          <cell r="U120">
            <v>41167</v>
          </cell>
          <cell r="V120">
            <v>43898</v>
          </cell>
          <cell r="W120">
            <v>34423</v>
          </cell>
          <cell r="X120">
            <v>40199</v>
          </cell>
          <cell r="Y120">
            <v>36.412137681159422</v>
          </cell>
          <cell r="Z120">
            <v>42427.26326639871</v>
          </cell>
          <cell r="AA120">
            <v>3011.935683636043</v>
          </cell>
          <cell r="AB120">
            <v>38.430492089129267</v>
          </cell>
          <cell r="AC120">
            <v>70.990571904773745</v>
          </cell>
          <cell r="AD120">
            <v>254.56357959839224</v>
          </cell>
          <cell r="AE120">
            <v>254.56357959839224</v>
          </cell>
        </row>
        <row r="121">
          <cell r="A121">
            <v>0</v>
          </cell>
          <cell r="B121">
            <v>0</v>
          </cell>
          <cell r="C121">
            <v>0</v>
          </cell>
          <cell r="D121">
            <v>0</v>
          </cell>
          <cell r="E121">
            <v>0</v>
          </cell>
          <cell r="F121" t="str">
            <v>stroški v €</v>
          </cell>
          <cell r="G121">
            <v>5349</v>
          </cell>
          <cell r="H121">
            <v>4964</v>
          </cell>
          <cell r="I121">
            <v>6076</v>
          </cell>
          <cell r="J121">
            <v>5844</v>
          </cell>
          <cell r="K121">
            <v>5558.25</v>
          </cell>
          <cell r="L121">
            <v>0</v>
          </cell>
          <cell r="M121">
            <v>0</v>
          </cell>
          <cell r="N121">
            <v>0</v>
          </cell>
          <cell r="O121">
            <v>0</v>
          </cell>
          <cell r="P121">
            <v>0</v>
          </cell>
          <cell r="Q121">
            <v>0</v>
          </cell>
          <cell r="R121">
            <v>0</v>
          </cell>
          <cell r="S121" t="str">
            <v>stroški v €</v>
          </cell>
          <cell r="T121">
            <v>3382</v>
          </cell>
          <cell r="U121">
            <v>3185</v>
          </cell>
          <cell r="V121">
            <v>2904</v>
          </cell>
          <cell r="W121">
            <v>1944</v>
          </cell>
          <cell r="X121">
            <v>2853.75</v>
          </cell>
          <cell r="Y121">
            <v>0</v>
          </cell>
          <cell r="Z121">
            <v>0</v>
          </cell>
          <cell r="AA121">
            <v>0</v>
          </cell>
          <cell r="AB121">
            <v>0</v>
          </cell>
          <cell r="AC121">
            <v>0</v>
          </cell>
        </row>
      </sheetData>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ekRacEUR"/>
      <sheetName val="ElekRackWh"/>
      <sheetName val="VzdrRac"/>
      <sheetName val="TipSvetilke"/>
      <sheetName val="Popis"/>
      <sheetName val="Kalkulacija"/>
      <sheetName val="Vzdrževanje"/>
      <sheetName val="Zbirna tabela"/>
      <sheetName val="Amort. načrt"/>
      <sheetName val="Finančni tokovi"/>
      <sheetName val="V1"/>
      <sheetName val="V2"/>
      <sheetName val="Ekonomika Petrol 1"/>
      <sheetName val="Ekonomika Petrol 2"/>
    </sheetNames>
    <sheetDataSet>
      <sheetData sheetId="0"/>
      <sheetData sheetId="1"/>
      <sheetData sheetId="2"/>
      <sheetData sheetId="3"/>
      <sheetData sheetId="4">
        <row r="5">
          <cell r="Y5">
            <v>0</v>
          </cell>
        </row>
        <row r="6">
          <cell r="Y6">
            <v>0</v>
          </cell>
        </row>
        <row r="7">
          <cell r="Y7">
            <v>3</v>
          </cell>
        </row>
        <row r="8">
          <cell r="Y8">
            <v>0</v>
          </cell>
        </row>
        <row r="9">
          <cell r="Y9">
            <v>2</v>
          </cell>
        </row>
        <row r="10">
          <cell r="Y10">
            <v>0</v>
          </cell>
        </row>
        <row r="11">
          <cell r="Y11">
            <v>0</v>
          </cell>
        </row>
        <row r="12">
          <cell r="Y12">
            <v>0</v>
          </cell>
        </row>
        <row r="13">
          <cell r="Y13">
            <v>0</v>
          </cell>
        </row>
        <row r="14">
          <cell r="Y14">
            <v>0</v>
          </cell>
        </row>
        <row r="15">
          <cell r="Y15">
            <v>0</v>
          </cell>
        </row>
        <row r="16">
          <cell r="Y16">
            <v>0</v>
          </cell>
        </row>
        <row r="17">
          <cell r="Y17">
            <v>0</v>
          </cell>
        </row>
        <row r="18">
          <cell r="Y18">
            <v>3</v>
          </cell>
        </row>
        <row r="19">
          <cell r="Y19">
            <v>0</v>
          </cell>
        </row>
        <row r="20">
          <cell r="Y20">
            <v>3</v>
          </cell>
        </row>
        <row r="21">
          <cell r="Y21">
            <v>18</v>
          </cell>
        </row>
        <row r="22">
          <cell r="Y22">
            <v>0</v>
          </cell>
        </row>
        <row r="23">
          <cell r="Y23">
            <v>0</v>
          </cell>
        </row>
        <row r="24">
          <cell r="Y24">
            <v>0</v>
          </cell>
        </row>
        <row r="25">
          <cell r="Y25">
            <v>0</v>
          </cell>
        </row>
        <row r="26">
          <cell r="Y26">
            <v>0</v>
          </cell>
        </row>
        <row r="27">
          <cell r="Y27">
            <v>0</v>
          </cell>
        </row>
        <row r="28">
          <cell r="Y28">
            <v>3</v>
          </cell>
        </row>
        <row r="29">
          <cell r="Y29">
            <v>18</v>
          </cell>
        </row>
        <row r="30">
          <cell r="Y30">
            <v>18</v>
          </cell>
        </row>
        <row r="31">
          <cell r="Y31">
            <v>0</v>
          </cell>
        </row>
        <row r="32">
          <cell r="Y32">
            <v>0</v>
          </cell>
        </row>
        <row r="33">
          <cell r="Y33">
            <v>18</v>
          </cell>
        </row>
        <row r="34">
          <cell r="Y34">
            <v>3</v>
          </cell>
        </row>
        <row r="35">
          <cell r="Y35">
            <v>3</v>
          </cell>
        </row>
        <row r="36">
          <cell r="Y36">
            <v>3</v>
          </cell>
        </row>
        <row r="37">
          <cell r="Y37">
            <v>3</v>
          </cell>
        </row>
        <row r="38">
          <cell r="Y38">
            <v>3</v>
          </cell>
        </row>
        <row r="39">
          <cell r="Y39">
            <v>3</v>
          </cell>
        </row>
        <row r="40">
          <cell r="Y40">
            <v>3</v>
          </cell>
        </row>
        <row r="41">
          <cell r="Y41">
            <v>2</v>
          </cell>
        </row>
        <row r="42">
          <cell r="Y42">
            <v>2</v>
          </cell>
        </row>
        <row r="43">
          <cell r="Y43">
            <v>2</v>
          </cell>
        </row>
        <row r="44">
          <cell r="Y44">
            <v>2</v>
          </cell>
        </row>
        <row r="45">
          <cell r="Y45">
            <v>2</v>
          </cell>
        </row>
        <row r="46">
          <cell r="Y46">
            <v>3</v>
          </cell>
        </row>
        <row r="47">
          <cell r="Y47">
            <v>2</v>
          </cell>
        </row>
        <row r="48">
          <cell r="Y48">
            <v>2</v>
          </cell>
        </row>
        <row r="49">
          <cell r="Y49">
            <v>2</v>
          </cell>
        </row>
        <row r="50">
          <cell r="Y50">
            <v>3</v>
          </cell>
        </row>
        <row r="51">
          <cell r="Y51">
            <v>18</v>
          </cell>
        </row>
        <row r="52">
          <cell r="Y52">
            <v>3</v>
          </cell>
        </row>
        <row r="53">
          <cell r="Y53">
            <v>3</v>
          </cell>
        </row>
        <row r="54">
          <cell r="Y54">
            <v>18</v>
          </cell>
        </row>
        <row r="55">
          <cell r="Y55">
            <v>18</v>
          </cell>
        </row>
        <row r="56">
          <cell r="Y56">
            <v>3</v>
          </cell>
        </row>
        <row r="57">
          <cell r="Y57">
            <v>3</v>
          </cell>
        </row>
        <row r="58">
          <cell r="Y58">
            <v>18</v>
          </cell>
        </row>
        <row r="59">
          <cell r="Y59">
            <v>3</v>
          </cell>
        </row>
        <row r="60">
          <cell r="Y60">
            <v>3</v>
          </cell>
        </row>
        <row r="61">
          <cell r="Y61">
            <v>0</v>
          </cell>
        </row>
        <row r="62">
          <cell r="Y62">
            <v>0</v>
          </cell>
        </row>
        <row r="63">
          <cell r="Y63">
            <v>0</v>
          </cell>
        </row>
        <row r="64">
          <cell r="Y64">
            <v>0</v>
          </cell>
        </row>
        <row r="65">
          <cell r="Y65">
            <v>0</v>
          </cell>
        </row>
        <row r="66">
          <cell r="Y66">
            <v>3</v>
          </cell>
        </row>
        <row r="67">
          <cell r="Y67">
            <v>3</v>
          </cell>
        </row>
        <row r="68">
          <cell r="Y68">
            <v>3</v>
          </cell>
        </row>
        <row r="69">
          <cell r="Y69">
            <v>3</v>
          </cell>
        </row>
        <row r="70">
          <cell r="Y70">
            <v>3</v>
          </cell>
        </row>
        <row r="71">
          <cell r="Y71">
            <v>3</v>
          </cell>
        </row>
        <row r="72">
          <cell r="Y72">
            <v>3</v>
          </cell>
        </row>
        <row r="73">
          <cell r="Y73">
            <v>3</v>
          </cell>
        </row>
        <row r="74">
          <cell r="Y74">
            <v>3</v>
          </cell>
        </row>
        <row r="75">
          <cell r="Y75">
            <v>2</v>
          </cell>
        </row>
        <row r="76">
          <cell r="Y76">
            <v>3</v>
          </cell>
        </row>
        <row r="77">
          <cell r="Y77">
            <v>3</v>
          </cell>
        </row>
        <row r="78">
          <cell r="Y78">
            <v>3</v>
          </cell>
        </row>
        <row r="79">
          <cell r="Y79">
            <v>3</v>
          </cell>
        </row>
        <row r="80">
          <cell r="Y80">
            <v>3</v>
          </cell>
        </row>
        <row r="81">
          <cell r="Y81">
            <v>3</v>
          </cell>
        </row>
        <row r="82">
          <cell r="Y82">
            <v>3</v>
          </cell>
        </row>
        <row r="83">
          <cell r="Y83">
            <v>3</v>
          </cell>
        </row>
        <row r="84">
          <cell r="Y84">
            <v>3</v>
          </cell>
        </row>
        <row r="85">
          <cell r="Y85">
            <v>3</v>
          </cell>
        </row>
        <row r="86">
          <cell r="Y86">
            <v>3</v>
          </cell>
        </row>
        <row r="87">
          <cell r="Y87">
            <v>3</v>
          </cell>
        </row>
        <row r="88">
          <cell r="Y88">
            <v>3</v>
          </cell>
        </row>
        <row r="89">
          <cell r="Y89">
            <v>0</v>
          </cell>
        </row>
        <row r="90">
          <cell r="Y90">
            <v>0</v>
          </cell>
        </row>
        <row r="91">
          <cell r="Y91">
            <v>0</v>
          </cell>
        </row>
        <row r="92">
          <cell r="Y92">
            <v>2</v>
          </cell>
        </row>
        <row r="93">
          <cell r="Y93">
            <v>2</v>
          </cell>
        </row>
        <row r="94">
          <cell r="Y94">
            <v>18</v>
          </cell>
        </row>
        <row r="95">
          <cell r="Y95">
            <v>18</v>
          </cell>
        </row>
        <row r="96">
          <cell r="Y96">
            <v>18</v>
          </cell>
        </row>
        <row r="97">
          <cell r="Y97">
            <v>3</v>
          </cell>
        </row>
        <row r="98">
          <cell r="Y98">
            <v>18</v>
          </cell>
        </row>
        <row r="99">
          <cell r="Y99">
            <v>3</v>
          </cell>
        </row>
        <row r="100">
          <cell r="Y100">
            <v>3</v>
          </cell>
        </row>
        <row r="101">
          <cell r="Y101">
            <v>3</v>
          </cell>
        </row>
        <row r="102">
          <cell r="Y102">
            <v>0</v>
          </cell>
        </row>
        <row r="103">
          <cell r="Y103">
            <v>0</v>
          </cell>
        </row>
        <row r="104">
          <cell r="Y104">
            <v>18</v>
          </cell>
        </row>
        <row r="105">
          <cell r="Y105">
            <v>18</v>
          </cell>
        </row>
        <row r="106">
          <cell r="Y106">
            <v>18</v>
          </cell>
        </row>
        <row r="107">
          <cell r="Y107">
            <v>3</v>
          </cell>
        </row>
        <row r="108">
          <cell r="Y108">
            <v>18</v>
          </cell>
        </row>
        <row r="109">
          <cell r="Y109">
            <v>18</v>
          </cell>
        </row>
        <row r="110">
          <cell r="Y110">
            <v>3</v>
          </cell>
        </row>
        <row r="111">
          <cell r="Y111">
            <v>18</v>
          </cell>
        </row>
        <row r="112">
          <cell r="Y112">
            <v>18</v>
          </cell>
        </row>
        <row r="113">
          <cell r="Y113">
            <v>18</v>
          </cell>
        </row>
        <row r="114">
          <cell r="Y114">
            <v>2</v>
          </cell>
        </row>
        <row r="115">
          <cell r="Y115">
            <v>0</v>
          </cell>
        </row>
        <row r="116">
          <cell r="Y116">
            <v>0</v>
          </cell>
        </row>
        <row r="117">
          <cell r="Y117">
            <v>0</v>
          </cell>
        </row>
        <row r="118">
          <cell r="Y118">
            <v>0</v>
          </cell>
        </row>
        <row r="119">
          <cell r="Y119">
            <v>0</v>
          </cell>
        </row>
        <row r="120">
          <cell r="Y120">
            <v>3</v>
          </cell>
        </row>
        <row r="121">
          <cell r="Y121">
            <v>2</v>
          </cell>
        </row>
        <row r="122">
          <cell r="Y122">
            <v>0</v>
          </cell>
        </row>
        <row r="123">
          <cell r="Y123">
            <v>0</v>
          </cell>
        </row>
        <row r="124">
          <cell r="Y124">
            <v>6</v>
          </cell>
        </row>
        <row r="125">
          <cell r="Y125">
            <v>6</v>
          </cell>
        </row>
        <row r="126">
          <cell r="Y126">
            <v>6</v>
          </cell>
        </row>
        <row r="127">
          <cell r="Y127">
            <v>6</v>
          </cell>
        </row>
        <row r="128">
          <cell r="Y128">
            <v>7</v>
          </cell>
        </row>
        <row r="129">
          <cell r="Y129">
            <v>7</v>
          </cell>
        </row>
        <row r="130">
          <cell r="Y130">
            <v>7</v>
          </cell>
        </row>
        <row r="131">
          <cell r="Y131">
            <v>7</v>
          </cell>
        </row>
        <row r="132">
          <cell r="Y132">
            <v>7</v>
          </cell>
        </row>
        <row r="133">
          <cell r="Y133">
            <v>7</v>
          </cell>
        </row>
        <row r="134">
          <cell r="Y134">
            <v>18</v>
          </cell>
        </row>
        <row r="135">
          <cell r="Y135">
            <v>18</v>
          </cell>
        </row>
        <row r="136">
          <cell r="Y136">
            <v>2</v>
          </cell>
        </row>
        <row r="137">
          <cell r="Y137">
            <v>2</v>
          </cell>
        </row>
        <row r="138">
          <cell r="Y138">
            <v>0</v>
          </cell>
        </row>
        <row r="139">
          <cell r="Y139">
            <v>0</v>
          </cell>
        </row>
        <row r="140">
          <cell r="Y140">
            <v>0</v>
          </cell>
        </row>
        <row r="141">
          <cell r="Y141">
            <v>0</v>
          </cell>
        </row>
        <row r="142">
          <cell r="Y142">
            <v>0</v>
          </cell>
        </row>
        <row r="143">
          <cell r="Y143">
            <v>0</v>
          </cell>
        </row>
        <row r="144">
          <cell r="Y144">
            <v>0</v>
          </cell>
        </row>
        <row r="145">
          <cell r="Y145">
            <v>0</v>
          </cell>
        </row>
        <row r="146">
          <cell r="Y146">
            <v>0</v>
          </cell>
        </row>
        <row r="147">
          <cell r="Y147">
            <v>0</v>
          </cell>
        </row>
        <row r="148">
          <cell r="Y148">
            <v>0</v>
          </cell>
        </row>
        <row r="149">
          <cell r="Y149">
            <v>0</v>
          </cell>
        </row>
        <row r="150">
          <cell r="Y150">
            <v>0</v>
          </cell>
        </row>
        <row r="151">
          <cell r="Y151">
            <v>3</v>
          </cell>
        </row>
        <row r="152">
          <cell r="Y152">
            <v>2</v>
          </cell>
        </row>
        <row r="153">
          <cell r="Y153">
            <v>2</v>
          </cell>
        </row>
        <row r="154">
          <cell r="Y154">
            <v>2</v>
          </cell>
        </row>
        <row r="155">
          <cell r="Y155">
            <v>2</v>
          </cell>
        </row>
        <row r="156">
          <cell r="Y156">
            <v>2</v>
          </cell>
        </row>
        <row r="157">
          <cell r="Y157">
            <v>2</v>
          </cell>
        </row>
        <row r="158">
          <cell r="Y158">
            <v>2</v>
          </cell>
        </row>
        <row r="159">
          <cell r="Y159">
            <v>2</v>
          </cell>
        </row>
        <row r="160">
          <cell r="Y160">
            <v>18</v>
          </cell>
        </row>
        <row r="161">
          <cell r="Y161">
            <v>18</v>
          </cell>
        </row>
        <row r="162">
          <cell r="Y162">
            <v>18</v>
          </cell>
        </row>
        <row r="163">
          <cell r="Y163">
            <v>4</v>
          </cell>
        </row>
        <row r="164">
          <cell r="Y164">
            <v>18</v>
          </cell>
        </row>
        <row r="165">
          <cell r="Y165">
            <v>18</v>
          </cell>
        </row>
        <row r="166">
          <cell r="Y166">
            <v>3</v>
          </cell>
        </row>
        <row r="167">
          <cell r="Y167">
            <v>3</v>
          </cell>
        </row>
        <row r="168">
          <cell r="Y168">
            <v>3</v>
          </cell>
        </row>
        <row r="169">
          <cell r="Y169">
            <v>3</v>
          </cell>
        </row>
        <row r="170">
          <cell r="Y170">
            <v>3</v>
          </cell>
        </row>
        <row r="171">
          <cell r="Y171">
            <v>3</v>
          </cell>
        </row>
        <row r="172">
          <cell r="Y172">
            <v>0</v>
          </cell>
        </row>
        <row r="173">
          <cell r="Y173">
            <v>0</v>
          </cell>
        </row>
        <row r="174">
          <cell r="Y174">
            <v>3</v>
          </cell>
        </row>
        <row r="175">
          <cell r="Y175">
            <v>3</v>
          </cell>
        </row>
        <row r="176">
          <cell r="Y176">
            <v>18</v>
          </cell>
        </row>
        <row r="177">
          <cell r="Y177">
            <v>18</v>
          </cell>
        </row>
        <row r="178">
          <cell r="Y178">
            <v>0</v>
          </cell>
        </row>
        <row r="179">
          <cell r="Y179">
            <v>0</v>
          </cell>
        </row>
        <row r="180">
          <cell r="Y180">
            <v>18</v>
          </cell>
        </row>
        <row r="181">
          <cell r="Y181">
            <v>18</v>
          </cell>
        </row>
        <row r="182">
          <cell r="Y182">
            <v>18</v>
          </cell>
        </row>
        <row r="183">
          <cell r="Y183">
            <v>3</v>
          </cell>
        </row>
        <row r="184">
          <cell r="Y184">
            <v>4</v>
          </cell>
        </row>
        <row r="185">
          <cell r="Y185">
            <v>2</v>
          </cell>
        </row>
        <row r="186">
          <cell r="Y186">
            <v>4</v>
          </cell>
        </row>
        <row r="187">
          <cell r="Y187">
            <v>2</v>
          </cell>
        </row>
        <row r="188">
          <cell r="Y188">
            <v>0</v>
          </cell>
        </row>
        <row r="189">
          <cell r="Y189">
            <v>18</v>
          </cell>
        </row>
        <row r="190">
          <cell r="Y190">
            <v>0</v>
          </cell>
        </row>
        <row r="191">
          <cell r="Y191">
            <v>2</v>
          </cell>
        </row>
        <row r="192">
          <cell r="Y192">
            <v>3</v>
          </cell>
        </row>
        <row r="193">
          <cell r="Y193">
            <v>3</v>
          </cell>
        </row>
        <row r="194">
          <cell r="Y194">
            <v>3</v>
          </cell>
        </row>
        <row r="195">
          <cell r="Y195">
            <v>2</v>
          </cell>
        </row>
        <row r="196">
          <cell r="Y196">
            <v>3</v>
          </cell>
        </row>
        <row r="197">
          <cell r="Y197">
            <v>3</v>
          </cell>
        </row>
        <row r="198">
          <cell r="Y198">
            <v>3</v>
          </cell>
        </row>
        <row r="199">
          <cell r="Y199">
            <v>0</v>
          </cell>
        </row>
        <row r="200">
          <cell r="Y200">
            <v>2</v>
          </cell>
        </row>
        <row r="201">
          <cell r="Y201">
            <v>2</v>
          </cell>
        </row>
        <row r="202">
          <cell r="Y202">
            <v>4</v>
          </cell>
        </row>
        <row r="203">
          <cell r="Y203">
            <v>4</v>
          </cell>
        </row>
        <row r="204">
          <cell r="Y204">
            <v>3</v>
          </cell>
        </row>
        <row r="205">
          <cell r="Y205">
            <v>3</v>
          </cell>
        </row>
        <row r="206">
          <cell r="Y206">
            <v>18</v>
          </cell>
        </row>
        <row r="207">
          <cell r="Y207">
            <v>2</v>
          </cell>
        </row>
        <row r="208">
          <cell r="Y208">
            <v>3</v>
          </cell>
        </row>
        <row r="209">
          <cell r="Y209">
            <v>3</v>
          </cell>
        </row>
        <row r="210">
          <cell r="Y210">
            <v>3</v>
          </cell>
        </row>
        <row r="211">
          <cell r="Y211">
            <v>0</v>
          </cell>
        </row>
        <row r="212">
          <cell r="Y212">
            <v>0</v>
          </cell>
        </row>
        <row r="213">
          <cell r="Y213">
            <v>0</v>
          </cell>
        </row>
        <row r="214">
          <cell r="Y214">
            <v>0</v>
          </cell>
        </row>
        <row r="215">
          <cell r="Y215">
            <v>18</v>
          </cell>
        </row>
        <row r="216">
          <cell r="Y216">
            <v>2</v>
          </cell>
        </row>
        <row r="217">
          <cell r="Y217">
            <v>3</v>
          </cell>
        </row>
        <row r="218">
          <cell r="Y218">
            <v>3</v>
          </cell>
        </row>
        <row r="219">
          <cell r="Y219">
            <v>3</v>
          </cell>
        </row>
        <row r="220">
          <cell r="Y220">
            <v>2</v>
          </cell>
        </row>
        <row r="221">
          <cell r="Y221">
            <v>0</v>
          </cell>
        </row>
        <row r="222">
          <cell r="Y222">
            <v>4</v>
          </cell>
        </row>
        <row r="223">
          <cell r="Y223">
            <v>18</v>
          </cell>
        </row>
        <row r="224">
          <cell r="Y224">
            <v>4</v>
          </cell>
        </row>
        <row r="225">
          <cell r="Y225">
            <v>18</v>
          </cell>
        </row>
        <row r="226">
          <cell r="Y226">
            <v>4</v>
          </cell>
        </row>
        <row r="227">
          <cell r="Y227">
            <v>18</v>
          </cell>
        </row>
        <row r="228">
          <cell r="Y228">
            <v>3</v>
          </cell>
        </row>
        <row r="229">
          <cell r="Y229">
            <v>18</v>
          </cell>
        </row>
        <row r="230">
          <cell r="Y230">
            <v>2</v>
          </cell>
        </row>
        <row r="231">
          <cell r="Y231">
            <v>3</v>
          </cell>
        </row>
        <row r="232">
          <cell r="Y232">
            <v>3</v>
          </cell>
        </row>
        <row r="233">
          <cell r="Y233">
            <v>2</v>
          </cell>
        </row>
        <row r="234">
          <cell r="Y234">
            <v>0</v>
          </cell>
        </row>
        <row r="235">
          <cell r="Y235">
            <v>0</v>
          </cell>
        </row>
        <row r="236">
          <cell r="Y236">
            <v>18</v>
          </cell>
        </row>
        <row r="237">
          <cell r="Y237">
            <v>0</v>
          </cell>
        </row>
        <row r="238">
          <cell r="Y238">
            <v>18</v>
          </cell>
        </row>
        <row r="239">
          <cell r="Y239">
            <v>3</v>
          </cell>
        </row>
        <row r="240">
          <cell r="Y240">
            <v>4</v>
          </cell>
        </row>
        <row r="241">
          <cell r="Y241">
            <v>3</v>
          </cell>
        </row>
        <row r="242">
          <cell r="Y242">
            <v>18</v>
          </cell>
        </row>
        <row r="243">
          <cell r="Y243">
            <v>3</v>
          </cell>
        </row>
        <row r="244">
          <cell r="Y244">
            <v>3</v>
          </cell>
        </row>
        <row r="245">
          <cell r="Y245">
            <v>3</v>
          </cell>
        </row>
        <row r="246">
          <cell r="Y246">
            <v>3</v>
          </cell>
        </row>
        <row r="247">
          <cell r="Y247">
            <v>0</v>
          </cell>
        </row>
        <row r="248">
          <cell r="Y248">
            <v>0</v>
          </cell>
        </row>
        <row r="249">
          <cell r="Y249">
            <v>18</v>
          </cell>
        </row>
        <row r="250">
          <cell r="Y250">
            <v>4</v>
          </cell>
        </row>
        <row r="251">
          <cell r="Y251">
            <v>4</v>
          </cell>
        </row>
        <row r="252">
          <cell r="Y252">
            <v>3</v>
          </cell>
        </row>
        <row r="253">
          <cell r="Y253">
            <v>3</v>
          </cell>
        </row>
        <row r="254">
          <cell r="Y254">
            <v>0</v>
          </cell>
        </row>
        <row r="255">
          <cell r="Y255">
            <v>0</v>
          </cell>
        </row>
        <row r="256">
          <cell r="Y256">
            <v>0</v>
          </cell>
        </row>
        <row r="257">
          <cell r="Y257">
            <v>0</v>
          </cell>
        </row>
        <row r="258">
          <cell r="Y258">
            <v>0</v>
          </cell>
        </row>
        <row r="259">
          <cell r="Y259">
            <v>0</v>
          </cell>
        </row>
        <row r="260">
          <cell r="Y260">
            <v>0</v>
          </cell>
        </row>
        <row r="261">
          <cell r="Y261">
            <v>0</v>
          </cell>
        </row>
        <row r="262">
          <cell r="Y262">
            <v>4</v>
          </cell>
        </row>
        <row r="263">
          <cell r="Y263">
            <v>2</v>
          </cell>
        </row>
        <row r="264">
          <cell r="Y264">
            <v>2</v>
          </cell>
        </row>
        <row r="265">
          <cell r="Y265">
            <v>2</v>
          </cell>
        </row>
        <row r="266">
          <cell r="Y266">
            <v>2</v>
          </cell>
        </row>
        <row r="267">
          <cell r="Y267">
            <v>2</v>
          </cell>
        </row>
        <row r="268">
          <cell r="Y268">
            <v>3</v>
          </cell>
        </row>
        <row r="269">
          <cell r="Y269">
            <v>18</v>
          </cell>
        </row>
        <row r="270">
          <cell r="Y270">
            <v>18</v>
          </cell>
        </row>
        <row r="271">
          <cell r="Y271">
            <v>18</v>
          </cell>
        </row>
        <row r="272">
          <cell r="Y272">
            <v>3</v>
          </cell>
        </row>
        <row r="273">
          <cell r="Y273">
            <v>4</v>
          </cell>
        </row>
        <row r="274">
          <cell r="Y274">
            <v>18</v>
          </cell>
        </row>
        <row r="275">
          <cell r="Y275">
            <v>3</v>
          </cell>
        </row>
        <row r="276">
          <cell r="Y276">
            <v>0</v>
          </cell>
        </row>
        <row r="277">
          <cell r="Y277">
            <v>0</v>
          </cell>
        </row>
        <row r="278">
          <cell r="Y278">
            <v>0</v>
          </cell>
        </row>
        <row r="279">
          <cell r="Y279">
            <v>0</v>
          </cell>
        </row>
        <row r="280">
          <cell r="Y280">
            <v>0</v>
          </cell>
        </row>
        <row r="281">
          <cell r="Y281">
            <v>0</v>
          </cell>
        </row>
        <row r="282">
          <cell r="Y282">
            <v>18</v>
          </cell>
        </row>
        <row r="283">
          <cell r="Y283">
            <v>3</v>
          </cell>
        </row>
        <row r="284">
          <cell r="Y284">
            <v>3</v>
          </cell>
        </row>
        <row r="285">
          <cell r="Y285">
            <v>3</v>
          </cell>
        </row>
        <row r="286">
          <cell r="Y286">
            <v>3</v>
          </cell>
        </row>
        <row r="287">
          <cell r="Y287">
            <v>3</v>
          </cell>
        </row>
        <row r="288">
          <cell r="Y288">
            <v>3</v>
          </cell>
        </row>
        <row r="289">
          <cell r="Y289">
            <v>3</v>
          </cell>
        </row>
        <row r="290">
          <cell r="Y290">
            <v>0</v>
          </cell>
        </row>
        <row r="291">
          <cell r="Y291">
            <v>3</v>
          </cell>
        </row>
        <row r="292">
          <cell r="Y292">
            <v>3</v>
          </cell>
        </row>
        <row r="293">
          <cell r="Y293">
            <v>3</v>
          </cell>
        </row>
        <row r="294">
          <cell r="Y294">
            <v>3</v>
          </cell>
        </row>
        <row r="295">
          <cell r="Y295">
            <v>18</v>
          </cell>
        </row>
        <row r="296">
          <cell r="Y296">
            <v>18</v>
          </cell>
        </row>
        <row r="297">
          <cell r="Y297">
            <v>3</v>
          </cell>
        </row>
        <row r="298">
          <cell r="Y298">
            <v>18</v>
          </cell>
        </row>
        <row r="299">
          <cell r="Y299">
            <v>0</v>
          </cell>
        </row>
        <row r="300">
          <cell r="Y300">
            <v>3</v>
          </cell>
        </row>
        <row r="301">
          <cell r="Y301">
            <v>3</v>
          </cell>
        </row>
        <row r="302">
          <cell r="Y302">
            <v>3</v>
          </cell>
        </row>
        <row r="303">
          <cell r="Y303">
            <v>3</v>
          </cell>
        </row>
        <row r="304">
          <cell r="Y304">
            <v>3</v>
          </cell>
        </row>
        <row r="305">
          <cell r="Y305">
            <v>3</v>
          </cell>
        </row>
        <row r="306">
          <cell r="Y306">
            <v>7</v>
          </cell>
        </row>
        <row r="307">
          <cell r="Y307">
            <v>7</v>
          </cell>
        </row>
        <row r="308">
          <cell r="Y308">
            <v>7</v>
          </cell>
        </row>
        <row r="309">
          <cell r="Y309">
            <v>3</v>
          </cell>
        </row>
        <row r="310">
          <cell r="Y310">
            <v>3</v>
          </cell>
        </row>
        <row r="311">
          <cell r="Y311">
            <v>2</v>
          </cell>
        </row>
        <row r="312">
          <cell r="Y312">
            <v>2</v>
          </cell>
        </row>
        <row r="313">
          <cell r="Y313">
            <v>2</v>
          </cell>
        </row>
        <row r="314">
          <cell r="Y314">
            <v>3</v>
          </cell>
        </row>
        <row r="315">
          <cell r="Y315">
            <v>3</v>
          </cell>
        </row>
        <row r="316">
          <cell r="Y316">
            <v>3</v>
          </cell>
        </row>
        <row r="317">
          <cell r="Y317">
            <v>3</v>
          </cell>
        </row>
        <row r="318">
          <cell r="Y318">
            <v>3</v>
          </cell>
        </row>
        <row r="319">
          <cell r="Y319">
            <v>3</v>
          </cell>
        </row>
        <row r="320">
          <cell r="Y320">
            <v>18</v>
          </cell>
        </row>
        <row r="321">
          <cell r="Y321">
            <v>18</v>
          </cell>
        </row>
        <row r="322">
          <cell r="Y322">
            <v>18</v>
          </cell>
        </row>
        <row r="323">
          <cell r="Y323">
            <v>18</v>
          </cell>
        </row>
        <row r="324">
          <cell r="Y324">
            <v>4</v>
          </cell>
        </row>
        <row r="325">
          <cell r="Y325">
            <v>0</v>
          </cell>
        </row>
        <row r="326">
          <cell r="Y326">
            <v>0</v>
          </cell>
        </row>
        <row r="327">
          <cell r="Y327">
            <v>0</v>
          </cell>
        </row>
        <row r="328">
          <cell r="Y328">
            <v>0</v>
          </cell>
        </row>
        <row r="329">
          <cell r="Y329">
            <v>0</v>
          </cell>
        </row>
        <row r="330">
          <cell r="Y330">
            <v>3</v>
          </cell>
        </row>
        <row r="331">
          <cell r="Y331">
            <v>18</v>
          </cell>
        </row>
        <row r="332">
          <cell r="Y332">
            <v>3</v>
          </cell>
        </row>
        <row r="333">
          <cell r="Y333">
            <v>3</v>
          </cell>
        </row>
        <row r="334">
          <cell r="Y334">
            <v>3</v>
          </cell>
        </row>
        <row r="335">
          <cell r="Y335">
            <v>3</v>
          </cell>
        </row>
        <row r="336">
          <cell r="Y336">
            <v>0</v>
          </cell>
        </row>
        <row r="337">
          <cell r="Y337">
            <v>3</v>
          </cell>
        </row>
        <row r="338">
          <cell r="Y338">
            <v>3</v>
          </cell>
        </row>
        <row r="339">
          <cell r="Y339">
            <v>2</v>
          </cell>
        </row>
        <row r="340">
          <cell r="Y340">
            <v>3</v>
          </cell>
        </row>
        <row r="341">
          <cell r="Y341">
            <v>3</v>
          </cell>
        </row>
        <row r="342">
          <cell r="Y342">
            <v>3</v>
          </cell>
        </row>
        <row r="343">
          <cell r="Y343">
            <v>3</v>
          </cell>
        </row>
        <row r="344">
          <cell r="Y344">
            <v>3</v>
          </cell>
        </row>
        <row r="345">
          <cell r="Y345">
            <v>0</v>
          </cell>
        </row>
        <row r="346">
          <cell r="Y346">
            <v>0</v>
          </cell>
        </row>
        <row r="347">
          <cell r="Y347">
            <v>0</v>
          </cell>
        </row>
        <row r="348">
          <cell r="Y348">
            <v>0</v>
          </cell>
        </row>
        <row r="349">
          <cell r="Y349">
            <v>3</v>
          </cell>
        </row>
        <row r="350">
          <cell r="Y350">
            <v>3</v>
          </cell>
        </row>
        <row r="351">
          <cell r="Y351">
            <v>3</v>
          </cell>
        </row>
        <row r="352">
          <cell r="Y352">
            <v>3</v>
          </cell>
        </row>
        <row r="353">
          <cell r="Y353">
            <v>18</v>
          </cell>
        </row>
        <row r="354">
          <cell r="Y354">
            <v>18</v>
          </cell>
        </row>
        <row r="355">
          <cell r="Y355">
            <v>3</v>
          </cell>
        </row>
        <row r="356">
          <cell r="Y356">
            <v>3</v>
          </cell>
        </row>
        <row r="357">
          <cell r="Y357">
            <v>18</v>
          </cell>
        </row>
        <row r="358">
          <cell r="Y358">
            <v>3</v>
          </cell>
        </row>
        <row r="359">
          <cell r="Y359">
            <v>18</v>
          </cell>
        </row>
        <row r="360">
          <cell r="Y360">
            <v>18</v>
          </cell>
        </row>
        <row r="361">
          <cell r="Y361">
            <v>3</v>
          </cell>
        </row>
        <row r="362">
          <cell r="Y362">
            <v>3</v>
          </cell>
        </row>
        <row r="363">
          <cell r="Y363">
            <v>3</v>
          </cell>
        </row>
        <row r="364">
          <cell r="Y364">
            <v>3</v>
          </cell>
        </row>
        <row r="365">
          <cell r="Y365">
            <v>3</v>
          </cell>
        </row>
        <row r="366">
          <cell r="Y366">
            <v>3</v>
          </cell>
        </row>
        <row r="367">
          <cell r="Y367">
            <v>18</v>
          </cell>
        </row>
        <row r="368">
          <cell r="Y368">
            <v>4</v>
          </cell>
        </row>
        <row r="369">
          <cell r="Y369">
            <v>18</v>
          </cell>
        </row>
        <row r="370">
          <cell r="Y370">
            <v>0</v>
          </cell>
        </row>
        <row r="371">
          <cell r="Y371">
            <v>0</v>
          </cell>
        </row>
        <row r="372">
          <cell r="Y372">
            <v>0</v>
          </cell>
        </row>
        <row r="373">
          <cell r="Y373">
            <v>3</v>
          </cell>
        </row>
        <row r="374">
          <cell r="Y374">
            <v>0</v>
          </cell>
        </row>
        <row r="375">
          <cell r="Y375">
            <v>2</v>
          </cell>
        </row>
        <row r="376">
          <cell r="Y376">
            <v>3</v>
          </cell>
        </row>
        <row r="377">
          <cell r="Y377">
            <v>18</v>
          </cell>
        </row>
        <row r="378">
          <cell r="Y378">
            <v>0</v>
          </cell>
        </row>
        <row r="379">
          <cell r="Y379">
            <v>0</v>
          </cell>
        </row>
        <row r="380">
          <cell r="Y380">
            <v>3</v>
          </cell>
        </row>
        <row r="381">
          <cell r="Y381">
            <v>2</v>
          </cell>
        </row>
        <row r="382">
          <cell r="Y382">
            <v>18</v>
          </cell>
        </row>
        <row r="383">
          <cell r="Y383">
            <v>2</v>
          </cell>
        </row>
        <row r="384">
          <cell r="Y384">
            <v>2</v>
          </cell>
        </row>
        <row r="385">
          <cell r="Y385">
            <v>2</v>
          </cell>
        </row>
        <row r="386">
          <cell r="Y386">
            <v>3</v>
          </cell>
        </row>
        <row r="387">
          <cell r="Y387">
            <v>3</v>
          </cell>
        </row>
        <row r="388">
          <cell r="Y388">
            <v>18</v>
          </cell>
        </row>
        <row r="389">
          <cell r="Y389">
            <v>3</v>
          </cell>
        </row>
        <row r="390">
          <cell r="Y390">
            <v>3</v>
          </cell>
        </row>
        <row r="391">
          <cell r="Y391">
            <v>3</v>
          </cell>
        </row>
        <row r="392">
          <cell r="Y392">
            <v>0</v>
          </cell>
        </row>
        <row r="393">
          <cell r="Y393">
            <v>4</v>
          </cell>
        </row>
        <row r="394">
          <cell r="Y394">
            <v>18</v>
          </cell>
        </row>
        <row r="395">
          <cell r="Y395">
            <v>3</v>
          </cell>
        </row>
        <row r="396">
          <cell r="Y396">
            <v>0</v>
          </cell>
        </row>
        <row r="397">
          <cell r="Y397">
            <v>3</v>
          </cell>
        </row>
        <row r="398">
          <cell r="Y398">
            <v>4</v>
          </cell>
        </row>
        <row r="399">
          <cell r="Y399">
            <v>3</v>
          </cell>
        </row>
        <row r="400">
          <cell r="Y400">
            <v>18</v>
          </cell>
        </row>
        <row r="401">
          <cell r="Y401">
            <v>18</v>
          </cell>
        </row>
        <row r="402">
          <cell r="Y402">
            <v>4</v>
          </cell>
        </row>
        <row r="403">
          <cell r="Y403">
            <v>3</v>
          </cell>
        </row>
        <row r="404">
          <cell r="Y404">
            <v>18</v>
          </cell>
        </row>
        <row r="405">
          <cell r="Y405">
            <v>0</v>
          </cell>
        </row>
        <row r="406">
          <cell r="Y406">
            <v>0</v>
          </cell>
        </row>
        <row r="407">
          <cell r="Y407">
            <v>2</v>
          </cell>
        </row>
        <row r="408">
          <cell r="Y408">
            <v>0</v>
          </cell>
        </row>
        <row r="409">
          <cell r="Y409">
            <v>2</v>
          </cell>
        </row>
        <row r="410">
          <cell r="Y410">
            <v>2</v>
          </cell>
        </row>
        <row r="411">
          <cell r="Y411">
            <v>0</v>
          </cell>
        </row>
        <row r="412">
          <cell r="Y412">
            <v>0</v>
          </cell>
        </row>
        <row r="413">
          <cell r="Y413">
            <v>0</v>
          </cell>
        </row>
        <row r="414">
          <cell r="Y414">
            <v>3</v>
          </cell>
        </row>
        <row r="415">
          <cell r="Y415">
            <v>18</v>
          </cell>
        </row>
        <row r="416">
          <cell r="Y416">
            <v>7</v>
          </cell>
        </row>
        <row r="417">
          <cell r="Y417">
            <v>3</v>
          </cell>
        </row>
        <row r="418">
          <cell r="Y418">
            <v>3</v>
          </cell>
        </row>
        <row r="419">
          <cell r="Y419">
            <v>3</v>
          </cell>
        </row>
        <row r="420">
          <cell r="Y420">
            <v>2</v>
          </cell>
        </row>
        <row r="421">
          <cell r="Y421">
            <v>3</v>
          </cell>
        </row>
        <row r="422">
          <cell r="Y422">
            <v>0</v>
          </cell>
        </row>
        <row r="423">
          <cell r="Y423">
            <v>3</v>
          </cell>
        </row>
        <row r="424">
          <cell r="Y424">
            <v>3</v>
          </cell>
        </row>
        <row r="425">
          <cell r="Y425">
            <v>18</v>
          </cell>
        </row>
        <row r="426">
          <cell r="Y426">
            <v>18</v>
          </cell>
        </row>
        <row r="427">
          <cell r="Y427">
            <v>2</v>
          </cell>
        </row>
        <row r="428">
          <cell r="Y428">
            <v>18</v>
          </cell>
        </row>
        <row r="429">
          <cell r="Y429">
            <v>18</v>
          </cell>
        </row>
        <row r="430">
          <cell r="Y430">
            <v>4</v>
          </cell>
        </row>
        <row r="431">
          <cell r="Y431">
            <v>18</v>
          </cell>
        </row>
        <row r="432">
          <cell r="Y432">
            <v>4</v>
          </cell>
        </row>
        <row r="433">
          <cell r="Y433">
            <v>4</v>
          </cell>
        </row>
        <row r="434">
          <cell r="Y434">
            <v>2</v>
          </cell>
        </row>
        <row r="435">
          <cell r="Y435">
            <v>2</v>
          </cell>
        </row>
        <row r="436">
          <cell r="Y436">
            <v>3</v>
          </cell>
        </row>
        <row r="437">
          <cell r="Y437">
            <v>3</v>
          </cell>
        </row>
        <row r="438">
          <cell r="Y438">
            <v>2</v>
          </cell>
        </row>
        <row r="439">
          <cell r="Y439">
            <v>3</v>
          </cell>
        </row>
        <row r="440">
          <cell r="Y440">
            <v>0</v>
          </cell>
        </row>
        <row r="441">
          <cell r="Y441">
            <v>0</v>
          </cell>
        </row>
        <row r="442">
          <cell r="Y442">
            <v>0</v>
          </cell>
        </row>
        <row r="443">
          <cell r="Y443">
            <v>0</v>
          </cell>
        </row>
        <row r="444">
          <cell r="Y444">
            <v>2</v>
          </cell>
        </row>
        <row r="445">
          <cell r="Y445">
            <v>4</v>
          </cell>
        </row>
        <row r="446">
          <cell r="Y446">
            <v>4</v>
          </cell>
        </row>
        <row r="447">
          <cell r="Y447">
            <v>6</v>
          </cell>
        </row>
        <row r="448">
          <cell r="Y448">
            <v>0</v>
          </cell>
        </row>
        <row r="449">
          <cell r="Y449">
            <v>4</v>
          </cell>
        </row>
        <row r="450">
          <cell r="Y450">
            <v>4</v>
          </cell>
        </row>
        <row r="451">
          <cell r="Y451">
            <v>18</v>
          </cell>
        </row>
        <row r="452">
          <cell r="Y452">
            <v>18</v>
          </cell>
        </row>
        <row r="453">
          <cell r="Y453">
            <v>18</v>
          </cell>
        </row>
        <row r="454">
          <cell r="Y454">
            <v>18</v>
          </cell>
        </row>
        <row r="455">
          <cell r="Y455">
            <v>2</v>
          </cell>
        </row>
        <row r="456">
          <cell r="Y456">
            <v>18</v>
          </cell>
        </row>
        <row r="457">
          <cell r="Y457">
            <v>18</v>
          </cell>
        </row>
        <row r="458">
          <cell r="Y458">
            <v>2</v>
          </cell>
        </row>
        <row r="459">
          <cell r="Y459">
            <v>18</v>
          </cell>
        </row>
        <row r="460">
          <cell r="Y460">
            <v>2</v>
          </cell>
        </row>
        <row r="461">
          <cell r="Y461">
            <v>7</v>
          </cell>
        </row>
        <row r="462">
          <cell r="Y462">
            <v>4</v>
          </cell>
        </row>
        <row r="463">
          <cell r="Y463">
            <v>4</v>
          </cell>
        </row>
        <row r="464">
          <cell r="Y464">
            <v>4</v>
          </cell>
        </row>
        <row r="465">
          <cell r="Y465">
            <v>4</v>
          </cell>
        </row>
        <row r="466">
          <cell r="Y466">
            <v>4</v>
          </cell>
        </row>
        <row r="467">
          <cell r="Y467">
            <v>4</v>
          </cell>
        </row>
        <row r="468">
          <cell r="Y468">
            <v>4</v>
          </cell>
        </row>
        <row r="469">
          <cell r="Y469">
            <v>3</v>
          </cell>
        </row>
        <row r="470">
          <cell r="Y470">
            <v>0</v>
          </cell>
        </row>
        <row r="471">
          <cell r="Y471">
            <v>0</v>
          </cell>
        </row>
        <row r="472">
          <cell r="Y472">
            <v>4</v>
          </cell>
        </row>
        <row r="473">
          <cell r="Y473">
            <v>4</v>
          </cell>
        </row>
        <row r="474">
          <cell r="Y474">
            <v>4</v>
          </cell>
        </row>
        <row r="475">
          <cell r="Y475">
            <v>4</v>
          </cell>
        </row>
        <row r="476">
          <cell r="Y476">
            <v>4</v>
          </cell>
        </row>
        <row r="477">
          <cell r="Y477">
            <v>4</v>
          </cell>
        </row>
        <row r="478">
          <cell r="Y478">
            <v>0</v>
          </cell>
        </row>
        <row r="479">
          <cell r="Y479">
            <v>0</v>
          </cell>
        </row>
        <row r="480">
          <cell r="Y480">
            <v>0</v>
          </cell>
        </row>
        <row r="481">
          <cell r="Y481">
            <v>0</v>
          </cell>
        </row>
        <row r="482">
          <cell r="Y482">
            <v>0</v>
          </cell>
        </row>
        <row r="483">
          <cell r="Y483">
            <v>0</v>
          </cell>
        </row>
        <row r="484">
          <cell r="Y484">
            <v>0</v>
          </cell>
        </row>
        <row r="485">
          <cell r="Y485">
            <v>0</v>
          </cell>
        </row>
        <row r="486">
          <cell r="Y486">
            <v>0</v>
          </cell>
        </row>
        <row r="487">
          <cell r="Y487">
            <v>0</v>
          </cell>
        </row>
        <row r="488">
          <cell r="Y488">
            <v>0</v>
          </cell>
        </row>
        <row r="489">
          <cell r="Y489">
            <v>0</v>
          </cell>
        </row>
        <row r="490">
          <cell r="Y490">
            <v>0</v>
          </cell>
        </row>
        <row r="491">
          <cell r="Y491">
            <v>0</v>
          </cell>
        </row>
        <row r="492">
          <cell r="Y492">
            <v>0</v>
          </cell>
        </row>
        <row r="493">
          <cell r="Y493">
            <v>0</v>
          </cell>
        </row>
        <row r="494">
          <cell r="Y494">
            <v>0</v>
          </cell>
        </row>
        <row r="495">
          <cell r="Y495">
            <v>0</v>
          </cell>
        </row>
        <row r="496">
          <cell r="Y496">
            <v>0</v>
          </cell>
        </row>
        <row r="497">
          <cell r="Y497">
            <v>0</v>
          </cell>
        </row>
        <row r="498">
          <cell r="Y498">
            <v>0</v>
          </cell>
        </row>
        <row r="499">
          <cell r="Y499">
            <v>0</v>
          </cell>
        </row>
        <row r="500">
          <cell r="Y500">
            <v>0</v>
          </cell>
        </row>
        <row r="501">
          <cell r="Y501">
            <v>4</v>
          </cell>
        </row>
        <row r="502">
          <cell r="Y502">
            <v>4</v>
          </cell>
        </row>
        <row r="503">
          <cell r="Y503">
            <v>4</v>
          </cell>
        </row>
        <row r="504">
          <cell r="Y504">
            <v>4</v>
          </cell>
        </row>
        <row r="505">
          <cell r="Y505">
            <v>4</v>
          </cell>
        </row>
        <row r="506">
          <cell r="Y506">
            <v>4</v>
          </cell>
        </row>
        <row r="507">
          <cell r="Y507">
            <v>4</v>
          </cell>
        </row>
        <row r="508">
          <cell r="Y508">
            <v>4</v>
          </cell>
        </row>
        <row r="509">
          <cell r="Y509">
            <v>0</v>
          </cell>
        </row>
        <row r="510">
          <cell r="Y510">
            <v>0</v>
          </cell>
        </row>
        <row r="511">
          <cell r="Y511">
            <v>0</v>
          </cell>
        </row>
        <row r="512">
          <cell r="Y512">
            <v>0</v>
          </cell>
        </row>
        <row r="513">
          <cell r="Y513">
            <v>0</v>
          </cell>
        </row>
        <row r="514">
          <cell r="Y514">
            <v>0</v>
          </cell>
        </row>
        <row r="515">
          <cell r="Y515">
            <v>0</v>
          </cell>
        </row>
        <row r="516">
          <cell r="Y516">
            <v>0</v>
          </cell>
        </row>
        <row r="517">
          <cell r="Y517">
            <v>0</v>
          </cell>
        </row>
        <row r="518">
          <cell r="Y518">
            <v>0</v>
          </cell>
        </row>
        <row r="519">
          <cell r="Y519">
            <v>3</v>
          </cell>
        </row>
        <row r="520">
          <cell r="Y520">
            <v>3</v>
          </cell>
        </row>
        <row r="521">
          <cell r="Y521">
            <v>3</v>
          </cell>
        </row>
        <row r="522">
          <cell r="Y522">
            <v>3</v>
          </cell>
        </row>
        <row r="523">
          <cell r="Y523">
            <v>0</v>
          </cell>
        </row>
        <row r="524">
          <cell r="Y524">
            <v>0</v>
          </cell>
        </row>
        <row r="525">
          <cell r="Y525">
            <v>0</v>
          </cell>
        </row>
        <row r="526">
          <cell r="Y526">
            <v>0</v>
          </cell>
        </row>
        <row r="527">
          <cell r="Y527">
            <v>0</v>
          </cell>
        </row>
        <row r="528">
          <cell r="Y528">
            <v>0</v>
          </cell>
        </row>
        <row r="529">
          <cell r="Y529">
            <v>0</v>
          </cell>
        </row>
        <row r="530">
          <cell r="Y530">
            <v>0</v>
          </cell>
        </row>
        <row r="531">
          <cell r="Y531">
            <v>0</v>
          </cell>
        </row>
        <row r="532">
          <cell r="Y532">
            <v>0</v>
          </cell>
        </row>
        <row r="533">
          <cell r="Y533">
            <v>0</v>
          </cell>
        </row>
        <row r="534">
          <cell r="Y534">
            <v>0</v>
          </cell>
        </row>
        <row r="535">
          <cell r="Y535">
            <v>0</v>
          </cell>
        </row>
        <row r="536">
          <cell r="Y536">
            <v>0</v>
          </cell>
        </row>
        <row r="537">
          <cell r="Y537">
            <v>0</v>
          </cell>
        </row>
        <row r="538">
          <cell r="Y538">
            <v>0</v>
          </cell>
        </row>
        <row r="539">
          <cell r="Y539">
            <v>0</v>
          </cell>
        </row>
        <row r="540">
          <cell r="Y540">
            <v>0</v>
          </cell>
        </row>
        <row r="541">
          <cell r="Y541">
            <v>0</v>
          </cell>
        </row>
        <row r="542">
          <cell r="Y542">
            <v>0</v>
          </cell>
        </row>
        <row r="543">
          <cell r="Y543">
            <v>0</v>
          </cell>
        </row>
        <row r="544">
          <cell r="Y544">
            <v>0</v>
          </cell>
        </row>
        <row r="545">
          <cell r="Y545">
            <v>0</v>
          </cell>
        </row>
        <row r="546">
          <cell r="Y546">
            <v>0</v>
          </cell>
        </row>
        <row r="547">
          <cell r="Y547">
            <v>0</v>
          </cell>
        </row>
        <row r="548">
          <cell r="Y548">
            <v>4</v>
          </cell>
        </row>
        <row r="549">
          <cell r="Y549">
            <v>4</v>
          </cell>
        </row>
        <row r="550">
          <cell r="Y550">
            <v>4</v>
          </cell>
        </row>
        <row r="551">
          <cell r="Y551">
            <v>4</v>
          </cell>
        </row>
        <row r="552">
          <cell r="Y552">
            <v>0</v>
          </cell>
        </row>
        <row r="553">
          <cell r="Y553">
            <v>0</v>
          </cell>
        </row>
        <row r="554">
          <cell r="Y554">
            <v>0</v>
          </cell>
        </row>
        <row r="555">
          <cell r="Y555">
            <v>0</v>
          </cell>
        </row>
        <row r="556">
          <cell r="Y556">
            <v>0</v>
          </cell>
        </row>
        <row r="557">
          <cell r="Y557">
            <v>0</v>
          </cell>
        </row>
        <row r="558">
          <cell r="Y558">
            <v>0</v>
          </cell>
        </row>
        <row r="559">
          <cell r="Y559">
            <v>0</v>
          </cell>
        </row>
        <row r="560">
          <cell r="Y560">
            <v>2</v>
          </cell>
        </row>
        <row r="561">
          <cell r="Y561">
            <v>4</v>
          </cell>
        </row>
        <row r="562">
          <cell r="Y562">
            <v>2</v>
          </cell>
        </row>
        <row r="563">
          <cell r="Y563">
            <v>4</v>
          </cell>
        </row>
        <row r="564">
          <cell r="Y564">
            <v>4</v>
          </cell>
        </row>
        <row r="565">
          <cell r="Y565">
            <v>4</v>
          </cell>
        </row>
        <row r="566">
          <cell r="Y566">
            <v>4</v>
          </cell>
        </row>
        <row r="567">
          <cell r="Y567">
            <v>4</v>
          </cell>
        </row>
        <row r="568">
          <cell r="Y568">
            <v>4</v>
          </cell>
        </row>
        <row r="569">
          <cell r="Y569">
            <v>0</v>
          </cell>
        </row>
        <row r="570">
          <cell r="Y570">
            <v>0</v>
          </cell>
        </row>
        <row r="571">
          <cell r="Y571">
            <v>2</v>
          </cell>
        </row>
        <row r="572">
          <cell r="Y572">
            <v>2</v>
          </cell>
        </row>
        <row r="573">
          <cell r="Y573">
            <v>2</v>
          </cell>
        </row>
        <row r="574">
          <cell r="Y574">
            <v>2</v>
          </cell>
        </row>
        <row r="575">
          <cell r="Y575">
            <v>2</v>
          </cell>
        </row>
        <row r="576">
          <cell r="Y576">
            <v>4</v>
          </cell>
        </row>
        <row r="577">
          <cell r="Y577">
            <v>2</v>
          </cell>
        </row>
        <row r="578">
          <cell r="Y578">
            <v>2</v>
          </cell>
        </row>
        <row r="579">
          <cell r="Y579">
            <v>0</v>
          </cell>
        </row>
        <row r="580">
          <cell r="Y580">
            <v>2</v>
          </cell>
        </row>
        <row r="581">
          <cell r="Y581">
            <v>7</v>
          </cell>
        </row>
        <row r="582">
          <cell r="Y582">
            <v>15</v>
          </cell>
        </row>
        <row r="583">
          <cell r="Y583">
            <v>15</v>
          </cell>
        </row>
        <row r="584">
          <cell r="Y584">
            <v>4</v>
          </cell>
        </row>
        <row r="585">
          <cell r="Y585">
            <v>4</v>
          </cell>
        </row>
        <row r="586">
          <cell r="Y586">
            <v>15</v>
          </cell>
        </row>
        <row r="587">
          <cell r="Y587">
            <v>15</v>
          </cell>
        </row>
        <row r="588">
          <cell r="Y588">
            <v>15</v>
          </cell>
        </row>
        <row r="589">
          <cell r="Y589">
            <v>15</v>
          </cell>
        </row>
        <row r="590">
          <cell r="Y590">
            <v>15</v>
          </cell>
        </row>
        <row r="591">
          <cell r="Y591">
            <v>15</v>
          </cell>
        </row>
        <row r="592">
          <cell r="Y592">
            <v>15</v>
          </cell>
        </row>
        <row r="593">
          <cell r="Y593">
            <v>15</v>
          </cell>
        </row>
        <row r="594">
          <cell r="Y594">
            <v>15</v>
          </cell>
        </row>
        <row r="595">
          <cell r="Y595">
            <v>15</v>
          </cell>
        </row>
        <row r="596">
          <cell r="Y596">
            <v>15</v>
          </cell>
        </row>
        <row r="597">
          <cell r="Y597">
            <v>15</v>
          </cell>
        </row>
        <row r="598">
          <cell r="Y598">
            <v>15</v>
          </cell>
        </row>
        <row r="599">
          <cell r="Y599">
            <v>15</v>
          </cell>
        </row>
        <row r="600">
          <cell r="Y600">
            <v>6</v>
          </cell>
        </row>
        <row r="601">
          <cell r="Y601">
            <v>6</v>
          </cell>
        </row>
        <row r="602">
          <cell r="Y602">
            <v>15</v>
          </cell>
        </row>
        <row r="603">
          <cell r="Y603">
            <v>15</v>
          </cell>
        </row>
        <row r="604">
          <cell r="Y604">
            <v>15</v>
          </cell>
        </row>
        <row r="605">
          <cell r="Y605">
            <v>15</v>
          </cell>
        </row>
        <row r="606">
          <cell r="Y606">
            <v>15</v>
          </cell>
        </row>
        <row r="607">
          <cell r="Y607">
            <v>4</v>
          </cell>
        </row>
        <row r="608">
          <cell r="Y608">
            <v>4</v>
          </cell>
        </row>
        <row r="609">
          <cell r="Y609">
            <v>4</v>
          </cell>
        </row>
        <row r="610">
          <cell r="Y610">
            <v>6</v>
          </cell>
        </row>
        <row r="611">
          <cell r="Y611">
            <v>6</v>
          </cell>
        </row>
        <row r="612">
          <cell r="Y612">
            <v>6</v>
          </cell>
        </row>
        <row r="613">
          <cell r="Y613">
            <v>4</v>
          </cell>
        </row>
        <row r="614">
          <cell r="Y614">
            <v>3</v>
          </cell>
        </row>
        <row r="615">
          <cell r="Y615">
            <v>7</v>
          </cell>
        </row>
        <row r="616">
          <cell r="Y616">
            <v>7</v>
          </cell>
        </row>
        <row r="617">
          <cell r="Y617">
            <v>7</v>
          </cell>
        </row>
        <row r="618">
          <cell r="Y618">
            <v>7</v>
          </cell>
        </row>
        <row r="619">
          <cell r="Y619">
            <v>7</v>
          </cell>
        </row>
        <row r="620">
          <cell r="Y620">
            <v>7</v>
          </cell>
        </row>
        <row r="621">
          <cell r="Y621">
            <v>7</v>
          </cell>
        </row>
        <row r="622">
          <cell r="Y622">
            <v>7</v>
          </cell>
        </row>
        <row r="623">
          <cell r="Y623">
            <v>7</v>
          </cell>
        </row>
        <row r="624">
          <cell r="Y624">
            <v>7</v>
          </cell>
        </row>
        <row r="625">
          <cell r="Y625">
            <v>7</v>
          </cell>
        </row>
        <row r="626">
          <cell r="Y626">
            <v>7</v>
          </cell>
        </row>
        <row r="627">
          <cell r="Y627">
            <v>7</v>
          </cell>
        </row>
        <row r="628">
          <cell r="Y628">
            <v>0</v>
          </cell>
        </row>
        <row r="629">
          <cell r="Y629">
            <v>0</v>
          </cell>
        </row>
        <row r="630">
          <cell r="Y630">
            <v>0</v>
          </cell>
        </row>
        <row r="631">
          <cell r="Y631">
            <v>0</v>
          </cell>
        </row>
        <row r="632">
          <cell r="Y632">
            <v>0</v>
          </cell>
        </row>
        <row r="633">
          <cell r="Y633">
            <v>0</v>
          </cell>
        </row>
        <row r="634">
          <cell r="Y634">
            <v>0</v>
          </cell>
        </row>
        <row r="635">
          <cell r="Y635">
            <v>0</v>
          </cell>
        </row>
        <row r="636">
          <cell r="Y636">
            <v>0</v>
          </cell>
        </row>
        <row r="637">
          <cell r="Y637">
            <v>0</v>
          </cell>
        </row>
        <row r="638">
          <cell r="Y638">
            <v>0</v>
          </cell>
        </row>
        <row r="639">
          <cell r="Y639">
            <v>0</v>
          </cell>
        </row>
        <row r="640">
          <cell r="Y640">
            <v>0</v>
          </cell>
        </row>
        <row r="641">
          <cell r="Y641">
            <v>0</v>
          </cell>
        </row>
        <row r="642">
          <cell r="Y642">
            <v>7</v>
          </cell>
        </row>
        <row r="643">
          <cell r="Y643">
            <v>7</v>
          </cell>
        </row>
        <row r="644">
          <cell r="Y644">
            <v>7</v>
          </cell>
        </row>
        <row r="645">
          <cell r="Y645">
            <v>7</v>
          </cell>
        </row>
        <row r="646">
          <cell r="Y646">
            <v>7</v>
          </cell>
        </row>
        <row r="647">
          <cell r="Y647">
            <v>7</v>
          </cell>
        </row>
        <row r="648">
          <cell r="Y648">
            <v>0</v>
          </cell>
        </row>
        <row r="649">
          <cell r="Y649">
            <v>7</v>
          </cell>
        </row>
        <row r="650">
          <cell r="Y650">
            <v>7</v>
          </cell>
        </row>
        <row r="651">
          <cell r="Y651">
            <v>7</v>
          </cell>
        </row>
        <row r="652">
          <cell r="Y652">
            <v>7</v>
          </cell>
        </row>
        <row r="653">
          <cell r="Y653">
            <v>7</v>
          </cell>
        </row>
        <row r="654">
          <cell r="Y654">
            <v>7</v>
          </cell>
        </row>
        <row r="655">
          <cell r="Y655">
            <v>4</v>
          </cell>
        </row>
        <row r="656">
          <cell r="Y656">
            <v>4</v>
          </cell>
        </row>
        <row r="657">
          <cell r="Y657">
            <v>4</v>
          </cell>
        </row>
        <row r="658">
          <cell r="Y658">
            <v>18</v>
          </cell>
        </row>
        <row r="659">
          <cell r="Y659">
            <v>7</v>
          </cell>
        </row>
        <row r="660">
          <cell r="Y660">
            <v>7</v>
          </cell>
        </row>
        <row r="661">
          <cell r="Y661">
            <v>7</v>
          </cell>
        </row>
        <row r="662">
          <cell r="Y662">
            <v>7</v>
          </cell>
        </row>
        <row r="663">
          <cell r="Y663">
            <v>2</v>
          </cell>
        </row>
        <row r="664">
          <cell r="Y664">
            <v>0</v>
          </cell>
        </row>
        <row r="665">
          <cell r="Y665">
            <v>0</v>
          </cell>
        </row>
        <row r="666">
          <cell r="Y666">
            <v>0</v>
          </cell>
        </row>
        <row r="667">
          <cell r="Y667">
            <v>18</v>
          </cell>
        </row>
        <row r="668">
          <cell r="Y668">
            <v>4</v>
          </cell>
        </row>
        <row r="669">
          <cell r="Y669">
            <v>18</v>
          </cell>
        </row>
        <row r="670">
          <cell r="Y670">
            <v>18</v>
          </cell>
        </row>
        <row r="671">
          <cell r="Y671">
            <v>0</v>
          </cell>
        </row>
        <row r="672">
          <cell r="Y672">
            <v>18</v>
          </cell>
        </row>
        <row r="673">
          <cell r="Y673">
            <v>3</v>
          </cell>
        </row>
        <row r="674">
          <cell r="Y674">
            <v>3</v>
          </cell>
        </row>
        <row r="675">
          <cell r="Y675">
            <v>18</v>
          </cell>
        </row>
        <row r="676">
          <cell r="Y676">
            <v>0</v>
          </cell>
        </row>
        <row r="677">
          <cell r="Y677">
            <v>2</v>
          </cell>
        </row>
        <row r="678">
          <cell r="Y678">
            <v>18</v>
          </cell>
        </row>
        <row r="679">
          <cell r="Y679">
            <v>0</v>
          </cell>
        </row>
        <row r="680">
          <cell r="Y680">
            <v>0</v>
          </cell>
        </row>
        <row r="681">
          <cell r="Y681">
            <v>18</v>
          </cell>
        </row>
        <row r="682">
          <cell r="Y682">
            <v>0</v>
          </cell>
        </row>
        <row r="683">
          <cell r="Y683">
            <v>0</v>
          </cell>
        </row>
        <row r="684">
          <cell r="Y684">
            <v>3</v>
          </cell>
        </row>
        <row r="685">
          <cell r="Y685">
            <v>3</v>
          </cell>
        </row>
        <row r="686">
          <cell r="Y686">
            <v>3</v>
          </cell>
        </row>
        <row r="687">
          <cell r="Y687">
            <v>4</v>
          </cell>
        </row>
        <row r="688">
          <cell r="Y688">
            <v>4</v>
          </cell>
        </row>
        <row r="689">
          <cell r="Y689">
            <v>4</v>
          </cell>
        </row>
        <row r="690">
          <cell r="Y690">
            <v>4</v>
          </cell>
        </row>
        <row r="691">
          <cell r="Y691">
            <v>4</v>
          </cell>
        </row>
        <row r="692">
          <cell r="Y692">
            <v>4</v>
          </cell>
        </row>
        <row r="693">
          <cell r="Y693">
            <v>4</v>
          </cell>
        </row>
        <row r="694">
          <cell r="Y694">
            <v>4</v>
          </cell>
        </row>
        <row r="695">
          <cell r="Y695">
            <v>4</v>
          </cell>
        </row>
        <row r="696">
          <cell r="Y696">
            <v>4</v>
          </cell>
        </row>
        <row r="697">
          <cell r="Y697">
            <v>4</v>
          </cell>
        </row>
        <row r="698">
          <cell r="Y698">
            <v>3</v>
          </cell>
        </row>
        <row r="699">
          <cell r="Y699">
            <v>4</v>
          </cell>
        </row>
        <row r="700">
          <cell r="Y700">
            <v>4</v>
          </cell>
        </row>
        <row r="701">
          <cell r="Y701">
            <v>4</v>
          </cell>
        </row>
        <row r="702">
          <cell r="Y702">
            <v>4</v>
          </cell>
        </row>
        <row r="703">
          <cell r="Y703">
            <v>4</v>
          </cell>
        </row>
        <row r="704">
          <cell r="Y704">
            <v>4</v>
          </cell>
        </row>
        <row r="705">
          <cell r="Y705">
            <v>4</v>
          </cell>
        </row>
        <row r="706">
          <cell r="Y706">
            <v>4</v>
          </cell>
        </row>
        <row r="707">
          <cell r="Y707">
            <v>4</v>
          </cell>
        </row>
        <row r="708">
          <cell r="Y708">
            <v>4</v>
          </cell>
        </row>
        <row r="709">
          <cell r="Y709">
            <v>4</v>
          </cell>
        </row>
        <row r="710">
          <cell r="Y710">
            <v>0</v>
          </cell>
        </row>
        <row r="711">
          <cell r="Y711">
            <v>4</v>
          </cell>
        </row>
        <row r="712">
          <cell r="Y712">
            <v>4</v>
          </cell>
        </row>
        <row r="713">
          <cell r="Y713">
            <v>4</v>
          </cell>
        </row>
        <row r="714">
          <cell r="Y714">
            <v>4</v>
          </cell>
        </row>
        <row r="715">
          <cell r="Y715">
            <v>4</v>
          </cell>
        </row>
        <row r="716">
          <cell r="Y716">
            <v>4</v>
          </cell>
        </row>
        <row r="717">
          <cell r="Y717">
            <v>4</v>
          </cell>
        </row>
        <row r="718">
          <cell r="Y718">
            <v>4</v>
          </cell>
        </row>
        <row r="719">
          <cell r="Y719">
            <v>4</v>
          </cell>
        </row>
        <row r="720">
          <cell r="Y720">
            <v>4</v>
          </cell>
        </row>
        <row r="721">
          <cell r="Y721">
            <v>4</v>
          </cell>
        </row>
        <row r="722">
          <cell r="Y722">
            <v>4</v>
          </cell>
        </row>
        <row r="723">
          <cell r="Y723">
            <v>4</v>
          </cell>
        </row>
        <row r="724">
          <cell r="Y724">
            <v>4</v>
          </cell>
        </row>
        <row r="725">
          <cell r="Y725">
            <v>4</v>
          </cell>
        </row>
        <row r="726">
          <cell r="Y726">
            <v>4</v>
          </cell>
        </row>
        <row r="727">
          <cell r="Y727">
            <v>4</v>
          </cell>
        </row>
        <row r="728">
          <cell r="Y728">
            <v>4</v>
          </cell>
        </row>
        <row r="729">
          <cell r="Y729">
            <v>4</v>
          </cell>
        </row>
        <row r="730">
          <cell r="Y730">
            <v>4</v>
          </cell>
        </row>
        <row r="731">
          <cell r="Y731">
            <v>4</v>
          </cell>
        </row>
        <row r="732">
          <cell r="Y732">
            <v>4</v>
          </cell>
        </row>
        <row r="733">
          <cell r="Y733">
            <v>4</v>
          </cell>
        </row>
        <row r="734">
          <cell r="Y734">
            <v>4</v>
          </cell>
        </row>
        <row r="735">
          <cell r="Y735">
            <v>4</v>
          </cell>
        </row>
        <row r="736">
          <cell r="Y736">
            <v>4</v>
          </cell>
        </row>
        <row r="737">
          <cell r="Y737">
            <v>4</v>
          </cell>
        </row>
        <row r="738">
          <cell r="Y738">
            <v>0</v>
          </cell>
        </row>
        <row r="739">
          <cell r="Y739">
            <v>0</v>
          </cell>
        </row>
        <row r="740">
          <cell r="Y740">
            <v>0</v>
          </cell>
        </row>
        <row r="741">
          <cell r="Y741">
            <v>0</v>
          </cell>
        </row>
        <row r="742">
          <cell r="Y742">
            <v>4</v>
          </cell>
        </row>
        <row r="743">
          <cell r="Y743">
            <v>4</v>
          </cell>
        </row>
        <row r="744">
          <cell r="Y744">
            <v>4</v>
          </cell>
        </row>
        <row r="745">
          <cell r="Y745">
            <v>4</v>
          </cell>
        </row>
        <row r="746">
          <cell r="Y746">
            <v>4</v>
          </cell>
        </row>
        <row r="747">
          <cell r="Y747">
            <v>4</v>
          </cell>
        </row>
        <row r="748">
          <cell r="Y748">
            <v>7</v>
          </cell>
        </row>
        <row r="749">
          <cell r="Y749">
            <v>7</v>
          </cell>
        </row>
        <row r="750">
          <cell r="Y750">
            <v>7</v>
          </cell>
        </row>
        <row r="751">
          <cell r="Y751">
            <v>7</v>
          </cell>
        </row>
        <row r="752">
          <cell r="Y752">
            <v>7</v>
          </cell>
        </row>
        <row r="753">
          <cell r="Y753">
            <v>7</v>
          </cell>
        </row>
        <row r="754">
          <cell r="Y754">
            <v>7</v>
          </cell>
        </row>
        <row r="755">
          <cell r="Y755">
            <v>7</v>
          </cell>
        </row>
        <row r="756">
          <cell r="Y756">
            <v>7</v>
          </cell>
        </row>
        <row r="757">
          <cell r="Y757">
            <v>7</v>
          </cell>
        </row>
        <row r="758">
          <cell r="Y758">
            <v>7</v>
          </cell>
        </row>
        <row r="759">
          <cell r="Y759">
            <v>7</v>
          </cell>
        </row>
        <row r="760">
          <cell r="Y760">
            <v>7</v>
          </cell>
        </row>
      </sheetData>
      <sheetData sheetId="5"/>
      <sheetData sheetId="6"/>
      <sheetData sheetId="7">
        <row r="10">
          <cell r="C10">
            <v>570062.3200000003</v>
          </cell>
        </row>
      </sheetData>
      <sheetData sheetId="8"/>
      <sheetData sheetId="9"/>
      <sheetData sheetId="10"/>
      <sheetData sheetId="11"/>
      <sheetData sheetId="12"/>
      <sheetData sheetId="1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Rates"/>
      <sheetName val="Kurs walut"/>
      <sheetName val="Karta PKL"/>
      <sheetName val="Zestawienie"/>
      <sheetName val="Oznaczenia"/>
      <sheetName val="Baza klientów"/>
      <sheetName val="UT"/>
      <sheetName val="transfer sales"/>
      <sheetName val="transfer lines"/>
      <sheetName val="Ceny PKL"/>
      <sheetName val="PKL1F zbiorczy"/>
      <sheetName val="PKL2F zbiorczy"/>
      <sheetName val="Moduły"/>
      <sheetName val="Moduł niestandardowy"/>
      <sheetName val="Ceny PKL_MOD"/>
      <sheetName val="Urządzenia"/>
      <sheetName val="kody PKL"/>
      <sheetName val="Kurs_walut"/>
      <sheetName val="Karta_PKL"/>
      <sheetName val="Baza_klientów"/>
      <sheetName val="transfer_sales"/>
      <sheetName val="transfer_lines"/>
      <sheetName val="Ceny_PKL"/>
      <sheetName val="PKL1F_zbiorczy"/>
      <sheetName val="PKL2F_zbiorczy"/>
      <sheetName val="Moduł_niestandardowy"/>
      <sheetName val="Ceny_PKL_MOD"/>
      <sheetName val="kody_PKL"/>
    </sheetNames>
    <sheetDataSet>
      <sheetData sheetId="0" refreshError="1"/>
      <sheetData sheetId="1" refreshError="1"/>
      <sheetData sheetId="2" refreshError="1"/>
      <sheetData sheetId="3" refreshError="1"/>
      <sheetData sheetId="4">
        <row r="3">
          <cell r="A3" t="str">
            <v>PKL2F-1</v>
          </cell>
        </row>
        <row r="4">
          <cell r="A4" t="str">
            <v>PKL2F-2</v>
          </cell>
        </row>
        <row r="5">
          <cell r="A5" t="str">
            <v>PKL2F-3</v>
          </cell>
        </row>
        <row r="6">
          <cell r="A6" t="str">
            <v>PKL2F-4</v>
          </cell>
        </row>
        <row r="7">
          <cell r="A7" t="str">
            <v>PKL2F-5</v>
          </cell>
        </row>
        <row r="8">
          <cell r="A8" t="str">
            <v>PKL2F-4RX</v>
          </cell>
        </row>
        <row r="9">
          <cell r="A9" t="str">
            <v>PKL2F-5RX</v>
          </cell>
        </row>
        <row r="10">
          <cell r="A10" t="str">
            <v>PKL1F-1</v>
          </cell>
        </row>
        <row r="11">
          <cell r="A11" t="str">
            <v>PKL1F-2</v>
          </cell>
        </row>
        <row r="12">
          <cell r="A12" t="str">
            <v>PKL1F-2RX</v>
          </cell>
        </row>
        <row r="13">
          <cell r="A13" t="str">
            <v>PKL1F-1Z</v>
          </cell>
        </row>
        <row r="14">
          <cell r="A14" t="str">
            <v>PKL1F-2Z</v>
          </cell>
        </row>
        <row r="15">
          <cell r="A15" t="str">
            <v>PKL2F-1Z</v>
          </cell>
        </row>
        <row r="16">
          <cell r="A16" t="str">
            <v>PKL2F-2Z</v>
          </cell>
        </row>
        <row r="17">
          <cell r="A17" t="str">
            <v>PKL2F-3Z</v>
          </cell>
        </row>
        <row r="18">
          <cell r="A18" t="str">
            <v>PKL2F-4Z</v>
          </cell>
        </row>
        <row r="19">
          <cell r="A19" t="str">
            <v>PKL2F-5Z</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M_HOCE"/>
      <sheetName val="Tip_svetilke"/>
      <sheetName val="Popis"/>
      <sheetName val="Kalkulacija delo JR"/>
      <sheetName val="JR Hoče_popis del"/>
      <sheetName val="KE-Ekonomika"/>
      <sheetName val="KE-Zbirna tabela"/>
      <sheetName val="Kalkulacija"/>
      <sheetName val="Komplet"/>
      <sheetName val="RekapKol"/>
      <sheetName val="PopisDELO"/>
      <sheetName val="KalkulacijaEK"/>
      <sheetName val="CenikEK"/>
      <sheetName val="VzpostavitevEK"/>
      <sheetName val="LetniStroškiEK"/>
      <sheetName val="Vzdrževanje"/>
      <sheetName val="Ponudba"/>
      <sheetName val="Ponudba RD"/>
      <sheetName val="Vzdrževanje RD"/>
      <sheetName val="TerminskiPlan"/>
      <sheetName val="Ponudba JR delo+svetilke"/>
      <sheetName val="Ponudba JR vzdr."/>
      <sheetName val="Ponudba JR Delo"/>
    </sheetNames>
    <sheetDataSet>
      <sheetData sheetId="0">
        <row r="1">
          <cell r="Y1">
            <v>4000</v>
          </cell>
        </row>
      </sheetData>
      <sheetData sheetId="1"/>
      <sheetData sheetId="2">
        <row r="1">
          <cell r="H1">
            <v>1.25</v>
          </cell>
        </row>
      </sheetData>
      <sheetData sheetId="3" refreshError="1"/>
      <sheetData sheetId="4" refreshError="1"/>
      <sheetData sheetId="5" refreshError="1"/>
      <sheetData sheetId="6" refreshError="1"/>
      <sheetData sheetId="7">
        <row r="13">
          <cell r="B13" t="str">
            <v>Philips ClearWay LED 15W</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lkEle"/>
      <sheetName val="EnolicniZapisi"/>
      <sheetName val="Tip_svetilke"/>
      <sheetName val="Popis"/>
      <sheetName val="Kalkulacija"/>
      <sheetName val="Vzdrževanje"/>
      <sheetName val="KalkulacijaEK"/>
      <sheetName val="CenikEK"/>
      <sheetName val="VzpostavitevEK"/>
      <sheetName val="LetniStroškiEK"/>
    </sheetNames>
    <sheetDataSet>
      <sheetData sheetId="0"/>
      <sheetData sheetId="1"/>
      <sheetData sheetId="2"/>
      <sheetData sheetId="3">
        <row r="1">
          <cell r="L1">
            <v>4000</v>
          </cell>
        </row>
      </sheetData>
      <sheetData sheetId="4"/>
      <sheetData sheetId="5"/>
      <sheetData sheetId="6"/>
      <sheetData sheetId="7"/>
      <sheetData sheetId="8"/>
      <sheetData sheetId="9"/>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Rates"/>
      <sheetName val="Kurs walut"/>
      <sheetName val="OFFER"/>
      <sheetName val="Pipe"/>
      <sheetName val="zbiorczy (new)"/>
      <sheetName val="Prezračevanje"/>
      <sheetName val="Kurs_walut"/>
      <sheetName val="zbiorczy_(new)"/>
    </sheetNames>
    <sheetDataSet>
      <sheetData sheetId="0" refreshError="1"/>
      <sheetData sheetId="1" refreshError="1"/>
      <sheetData sheetId="2" refreshError="1"/>
      <sheetData sheetId="3"/>
      <sheetData sheetId="4" refreshError="1"/>
      <sheetData sheetId="5" refreshError="1"/>
      <sheetData sheetId="6"/>
      <sheetData sheetId="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diator"/>
      <sheetName val="koef"/>
      <sheetName val="Module1"/>
      <sheetName val="TABLE"/>
    </sheetNames>
    <sheetDataSet>
      <sheetData sheetId="0"/>
      <sheetData sheetId="1"/>
      <sheetData sheetId="2" refreshError="1"/>
      <sheetData sheetId="3">
        <row r="5">
          <cell r="B5">
            <v>1.3599999999999999E-2</v>
          </cell>
          <cell r="F5">
            <v>3.9299999999999995E-2</v>
          </cell>
        </row>
        <row r="6">
          <cell r="B6">
            <v>1.7299999999999999E-2</v>
          </cell>
          <cell r="F6">
            <v>5.1200000000000002E-2</v>
          </cell>
        </row>
        <row r="7">
          <cell r="B7">
            <v>2.23E-2</v>
          </cell>
          <cell r="F7">
            <v>7.0300000000000001E-2</v>
          </cell>
        </row>
        <row r="8">
          <cell r="B8">
            <v>2.8500000000000001E-2</v>
          </cell>
          <cell r="F8">
            <v>8.2500000000000004E-2</v>
          </cell>
        </row>
        <row r="9">
          <cell r="B9">
            <v>3.7200000000000004E-2</v>
          </cell>
          <cell r="F9">
            <v>0.1008</v>
          </cell>
        </row>
        <row r="10">
          <cell r="B10">
            <v>4.3099999999999999E-2</v>
          </cell>
          <cell r="F10">
            <v>0.125</v>
          </cell>
        </row>
        <row r="11">
          <cell r="F11">
            <v>0.15</v>
          </cell>
        </row>
        <row r="12">
          <cell r="B12">
            <v>8.0000000000000002E-3</v>
          </cell>
          <cell r="F12">
            <v>0.18289999999999998</v>
          </cell>
        </row>
        <row r="13">
          <cell r="B13">
            <v>0.01</v>
          </cell>
          <cell r="F13">
            <v>0.20729999999999998</v>
          </cell>
        </row>
        <row r="14">
          <cell r="B14">
            <v>1.2999999999999999E-2</v>
          </cell>
          <cell r="F14">
            <v>0.25440000000000002</v>
          </cell>
        </row>
        <row r="15">
          <cell r="B15">
            <v>1.4E-2</v>
          </cell>
          <cell r="F15">
            <v>0.31129999999999997</v>
          </cell>
        </row>
        <row r="16">
          <cell r="B16">
            <v>1.6E-2</v>
          </cell>
          <cell r="F16">
            <v>0.34300000000000003</v>
          </cell>
        </row>
        <row r="17">
          <cell r="B17">
            <v>0.02</v>
          </cell>
          <cell r="F17">
            <v>0.39379999999999993</v>
          </cell>
        </row>
        <row r="18">
          <cell r="B18">
            <v>2.5000000000000001E-2</v>
          </cell>
          <cell r="F18">
            <v>0.432</v>
          </cell>
        </row>
        <row r="19">
          <cell r="B19">
            <v>3.2000000000000001E-2</v>
          </cell>
          <cell r="F19">
            <v>0.49539999999999995</v>
          </cell>
        </row>
        <row r="20">
          <cell r="F20">
            <v>0.59650000000000003</v>
          </cell>
        </row>
        <row r="21">
          <cell r="B21">
            <v>0.01</v>
          </cell>
          <cell r="F21">
            <v>0.69699999999999995</v>
          </cell>
        </row>
        <row r="22">
          <cell r="B22">
            <v>1.2E-2</v>
          </cell>
          <cell r="F22">
            <v>0.79679999999999995</v>
          </cell>
        </row>
        <row r="23">
          <cell r="B23">
            <v>1.4E-2</v>
          </cell>
          <cell r="F23">
            <v>0.89439999999999997</v>
          </cell>
        </row>
        <row r="24">
          <cell r="B24">
            <v>0.02</v>
          </cell>
          <cell r="F24">
            <v>0.996</v>
          </cell>
        </row>
        <row r="25">
          <cell r="F25">
            <v>1.0980000000000001</v>
          </cell>
        </row>
        <row r="26">
          <cell r="F26">
            <v>1.1950000000000001</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repi"/>
      <sheetName val="Pripomočki"/>
      <sheetName val="OB019"/>
      <sheetName val="1.0 Energenti B"/>
      <sheetName val="1.1 Referenčne vrednosti B"/>
      <sheetName val="1.0 Energenti"/>
      <sheetName val="1.1 Referenčne vrednosti"/>
      <sheetName val="2.0 Energetsko upravljanje"/>
      <sheetName val="2.1 Izolacija fasade"/>
      <sheetName val="2.2 Izolacija streh_podstrešij"/>
      <sheetName val="2.3 Prenova stavbnega pohištva"/>
      <sheetName val="3.1 Prenova ogrevalnega sistema"/>
      <sheetName val="3.2 Prenova toplotne postaje"/>
      <sheetName val="3.2 Vgradnja TV in TG in HIX"/>
      <sheetName val="3.4 Prenova prezračevanja"/>
      <sheetName val="3.3 Prenova prezračevanja"/>
      <sheetName val="4.1 Prenova razsvetljave"/>
      <sheetName val="5. Prenova kotlovnice"/>
      <sheetName val="6. Prenova zunanje razsvetljave"/>
      <sheetName val="Obračun - Toplota"/>
      <sheetName val="Obračun - Elektrika"/>
      <sheetName val="Obračun - Vzdrževanje"/>
      <sheetName val="Obračun - Skupaj"/>
      <sheetName val="3.2 Vgradnja TV in TG in HI"/>
    </sheetNames>
    <sheetDataSet>
      <sheetData sheetId="0" refreshError="1"/>
      <sheetData sheetId="1">
        <row r="4">
          <cell r="D4" t="str">
            <v>DO</v>
          </cell>
          <cell r="E4" t="str">
            <v>ZP (Hi)</v>
          </cell>
          <cell r="F4" t="str">
            <v>ZP (Li)</v>
          </cell>
          <cell r="G4" t="str">
            <v>ELKO</v>
          </cell>
          <cell r="H4" t="str">
            <v>UNP</v>
          </cell>
          <cell r="I4" t="str">
            <v>EE</v>
          </cell>
        </row>
        <row r="5">
          <cell r="D5">
            <v>1</v>
          </cell>
          <cell r="E5">
            <v>11.331066666666667</v>
          </cell>
          <cell r="F5">
            <v>9.5</v>
          </cell>
          <cell r="G5">
            <v>10.17</v>
          </cell>
          <cell r="H5">
            <v>12.78</v>
          </cell>
          <cell r="I5">
            <v>1</v>
          </cell>
        </row>
        <row r="20">
          <cell r="C20" t="str">
            <v>A</v>
          </cell>
          <cell r="D20" t="str">
            <v>B</v>
          </cell>
          <cell r="E20" t="str">
            <v>C</v>
          </cell>
        </row>
      </sheetData>
      <sheetData sheetId="2" refreshError="1"/>
      <sheetData sheetId="3" refreshError="1"/>
      <sheetData sheetId="4" refreshError="1"/>
      <sheetData sheetId="5">
        <row r="4">
          <cell r="BR4" t="str">
            <v>DO</v>
          </cell>
        </row>
        <row r="5">
          <cell r="BR5" t="str">
            <v>EE</v>
          </cell>
        </row>
        <row r="6">
          <cell r="BR6" t="str">
            <v>ZP</v>
          </cell>
        </row>
        <row r="7">
          <cell r="BR7" t="str">
            <v>BIOMASA</v>
          </cell>
        </row>
        <row r="8">
          <cell r="BR8" t="str">
            <v>ELKO</v>
          </cell>
        </row>
        <row r="9">
          <cell r="BR9" t="str">
            <v>UNP</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G"/>
      <sheetName val="Muog"/>
      <sheetName val="Tilgung"/>
      <sheetName val="Tilgung Ferngas"/>
      <sheetName val="DCF"/>
      <sheetName val="s"/>
      <sheetName val="  ©"/>
      <sheetName val="Übersicht"/>
      <sheetName val="Anlagen"/>
      <sheetName val="Zahlungsströme"/>
      <sheetName val="Kennzahlen"/>
      <sheetName val="D-IRR"/>
      <sheetName val="D-CF"/>
      <sheetName val="D-E"/>
      <sheetName val="D-A"/>
      <sheetName val="D-A1"/>
      <sheetName val="D-A2"/>
      <sheetName val="Ablage"/>
      <sheetName val="D-IRR2"/>
      <sheetName val="D-CF2"/>
      <sheetName val="D-A1%"/>
      <sheetName val="D-A2%"/>
      <sheetName val="Tilgung_Ferngas"/>
      <sheetName val="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Rates"/>
      <sheetName val="Kurs walut"/>
      <sheetName val="OFFER"/>
      <sheetName val="Pipe"/>
      <sheetName val="zbiorczy (new)"/>
    </sheetNames>
    <sheetDataSet>
      <sheetData sheetId="0" refreshError="1"/>
      <sheetData sheetId="1" refreshError="1"/>
      <sheetData sheetId="2" refreshError="1"/>
      <sheetData sheetId="3"/>
      <sheetData sheetId="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zhodišča za ekonomiko"/>
      <sheetName val="UKREPI"/>
      <sheetName val="UKREPI-staro"/>
      <sheetName val="Pripomočki"/>
      <sheetName val="1.0 Energenti"/>
      <sheetName val="1.1 Referenčne vrednosti"/>
      <sheetName val="2.0 CNS"/>
      <sheetName val="2.1 Fasada"/>
      <sheetName val="2.3 Stavbno pohištvo"/>
      <sheetName val="2.2 Strehe in podstrešja"/>
      <sheetName val="3.2 TV in TG in HI"/>
      <sheetName val="3.1 Ogrevalni sistem"/>
      <sheetName val="3.2 Prenova toplotne postaje"/>
      <sheetName val="3.3 Prezračevanje+moč"/>
      <sheetName val="4.1 Prenova razsvetljave"/>
      <sheetName val="Zamenjava svetilk"/>
      <sheetName val="5. Prenova kotlovnice"/>
      <sheetName val="6. Prenova zunanje razsvetljave"/>
      <sheetName val="Obračun - Toplota"/>
      <sheetName val="Obračun - Elektrika"/>
      <sheetName val="Obračun - Vzdrževanje"/>
      <sheetName val="Obračun - Skupaj"/>
    </sheetNames>
    <sheetDataSet>
      <sheetData sheetId="0"/>
      <sheetData sheetId="1"/>
      <sheetData sheetId="2"/>
      <sheetData sheetId="3">
        <row r="4">
          <cell r="D4" t="str">
            <v>DO</v>
          </cell>
        </row>
        <row r="27">
          <cell r="C27" t="str">
            <v>Viseča</v>
          </cell>
        </row>
        <row r="28">
          <cell r="C28" t="str">
            <v>Stropna</v>
          </cell>
        </row>
        <row r="29">
          <cell r="C29" t="str">
            <v>Vgradna</v>
          </cell>
        </row>
        <row r="30">
          <cell r="C30" t="str">
            <v>Reflektor</v>
          </cell>
        </row>
        <row r="31">
          <cell r="C31" t="str">
            <v>Namizna</v>
          </cell>
        </row>
        <row r="32">
          <cell r="C32" t="str">
            <v>Stenska</v>
          </cell>
        </row>
        <row r="33">
          <cell r="C33"/>
        </row>
        <row r="34">
          <cell r="C34"/>
        </row>
        <row r="39">
          <cell r="C39" t="str">
            <v>Objekt A</v>
          </cell>
        </row>
        <row r="40">
          <cell r="C40" t="str">
            <v>Objekt B</v>
          </cell>
        </row>
        <row r="41">
          <cell r="C41" t="str">
            <v>Stari dom</v>
          </cell>
        </row>
        <row r="42">
          <cell r="C42" t="str">
            <v>Novi dom</v>
          </cell>
        </row>
        <row r="43">
          <cell r="C43"/>
        </row>
        <row r="44">
          <cell r="C44"/>
        </row>
        <row r="49">
          <cell r="C49" t="str">
            <v>Garderoba</v>
          </cell>
          <cell r="D49">
            <v>3</v>
          </cell>
          <cell r="E49">
            <v>250</v>
          </cell>
        </row>
        <row r="50">
          <cell r="C50" t="str">
            <v>WC/Tuš</v>
          </cell>
          <cell r="D50">
            <v>4</v>
          </cell>
          <cell r="E50">
            <v>200</v>
          </cell>
        </row>
        <row r="51">
          <cell r="C51" t="str">
            <v>Hodnik</v>
          </cell>
          <cell r="D51">
            <v>8</v>
          </cell>
          <cell r="E51">
            <v>200</v>
          </cell>
        </row>
        <row r="52">
          <cell r="C52" t="str">
            <v>Skladišče/tehnični prostor</v>
          </cell>
          <cell r="D52">
            <v>1</v>
          </cell>
          <cell r="E52">
            <v>200</v>
          </cell>
        </row>
        <row r="53">
          <cell r="C53" t="str">
            <v>Pisarna</v>
          </cell>
          <cell r="D53">
            <v>8</v>
          </cell>
          <cell r="E53">
            <v>250</v>
          </cell>
        </row>
        <row r="54">
          <cell r="C54" t="str">
            <v>Kabinet</v>
          </cell>
          <cell r="D54">
            <v>4</v>
          </cell>
          <cell r="E54">
            <v>200</v>
          </cell>
        </row>
        <row r="55">
          <cell r="C55" t="str">
            <v>Stopnišče</v>
          </cell>
          <cell r="D55">
            <v>8</v>
          </cell>
          <cell r="E55">
            <v>200</v>
          </cell>
        </row>
        <row r="56">
          <cell r="C56" t="str">
            <v>Vhod</v>
          </cell>
          <cell r="D56">
            <v>5</v>
          </cell>
          <cell r="E56">
            <v>200</v>
          </cell>
        </row>
        <row r="57">
          <cell r="C57" t="str">
            <v>Generalna - učilnica</v>
          </cell>
          <cell r="D57">
            <v>5</v>
          </cell>
          <cell r="E57">
            <v>200</v>
          </cell>
        </row>
        <row r="58">
          <cell r="C58" t="str">
            <v>Tabla - učilnica</v>
          </cell>
          <cell r="D58">
            <v>3</v>
          </cell>
          <cell r="E58">
            <v>200</v>
          </cell>
        </row>
        <row r="59">
          <cell r="C59" t="str">
            <v>Soba</v>
          </cell>
          <cell r="D59">
            <v>5</v>
          </cell>
          <cell r="E59">
            <v>200</v>
          </cell>
        </row>
        <row r="60">
          <cell r="C60" t="str">
            <v>Jedilnica</v>
          </cell>
          <cell r="D60">
            <v>5</v>
          </cell>
          <cell r="E60">
            <v>200</v>
          </cell>
        </row>
        <row r="61">
          <cell r="C61" t="str">
            <v>Kuhinja</v>
          </cell>
          <cell r="D61">
            <v>5</v>
          </cell>
          <cell r="E61">
            <v>200</v>
          </cell>
        </row>
        <row r="62">
          <cell r="C62" t="str">
            <v>Delovni prostor</v>
          </cell>
          <cell r="D62">
            <v>5</v>
          </cell>
          <cell r="E62">
            <v>200</v>
          </cell>
        </row>
        <row r="63">
          <cell r="C63"/>
          <cell r="D63"/>
          <cell r="E63"/>
        </row>
        <row r="68">
          <cell r="C68" t="str">
            <v>klet</v>
          </cell>
        </row>
        <row r="69">
          <cell r="C69" t="str">
            <v>pritličje</v>
          </cell>
        </row>
        <row r="70">
          <cell r="C70" t="str">
            <v>1nad</v>
          </cell>
        </row>
        <row r="71">
          <cell r="C71" t="str">
            <v>2nad</v>
          </cell>
        </row>
        <row r="72">
          <cell r="C72" t="str">
            <v>3nad</v>
          </cell>
        </row>
        <row r="73">
          <cell r="C73" t="str">
            <v>4nad</v>
          </cell>
        </row>
        <row r="74">
          <cell r="C74"/>
        </row>
        <row r="75">
          <cell r="C75"/>
        </row>
        <row r="80">
          <cell r="C80" t="str">
            <v>Opal</v>
          </cell>
          <cell r="D80">
            <v>0.45</v>
          </cell>
        </row>
        <row r="81">
          <cell r="C81" t="str">
            <v>Prozorna</v>
          </cell>
          <cell r="D81">
            <v>0.9</v>
          </cell>
        </row>
        <row r="82">
          <cell r="C82" t="str">
            <v>Refleksija</v>
          </cell>
          <cell r="D82">
            <v>0.65</v>
          </cell>
        </row>
        <row r="83">
          <cell r="C83" t="str">
            <v>Brez</v>
          </cell>
          <cell r="D83">
            <v>1</v>
          </cell>
        </row>
        <row r="84">
          <cell r="C84"/>
          <cell r="D84"/>
        </row>
        <row r="89">
          <cell r="C89" t="str">
            <v>Nitka</v>
          </cell>
          <cell r="D89">
            <v>1000</v>
          </cell>
          <cell r="E89" t="str">
            <v>/</v>
          </cell>
          <cell r="F89" t="str">
            <v>Opal</v>
          </cell>
        </row>
        <row r="90">
          <cell r="C90" t="str">
            <v>Halo</v>
          </cell>
          <cell r="D90">
            <v>1000</v>
          </cell>
          <cell r="E90" t="str">
            <v>/</v>
          </cell>
          <cell r="F90" t="str">
            <v>Refleksija</v>
          </cell>
        </row>
        <row r="91">
          <cell r="C91" t="str">
            <v>CFL</v>
          </cell>
          <cell r="D91">
            <v>10000</v>
          </cell>
          <cell r="E91" t="str">
            <v>/</v>
          </cell>
          <cell r="F91" t="str">
            <v>Refleksija</v>
          </cell>
        </row>
        <row r="92">
          <cell r="C92" t="str">
            <v>T8 Fluo</v>
          </cell>
          <cell r="D92">
            <v>20000</v>
          </cell>
          <cell r="E92" t="str">
            <v>KPN</v>
          </cell>
          <cell r="F92" t="str">
            <v>Refleksija</v>
          </cell>
        </row>
        <row r="93">
          <cell r="C93" t="str">
            <v>T5 Fluo</v>
          </cell>
          <cell r="D93">
            <v>40000</v>
          </cell>
          <cell r="E93" t="str">
            <v>EPN</v>
          </cell>
          <cell r="F93" t="str">
            <v>Refleksija</v>
          </cell>
        </row>
        <row r="94">
          <cell r="C94" t="str">
            <v>PI2_CFL</v>
          </cell>
          <cell r="D94">
            <v>10000</v>
          </cell>
          <cell r="E94" t="str">
            <v>KPN</v>
          </cell>
          <cell r="F94" t="str">
            <v>Refleksija</v>
          </cell>
        </row>
        <row r="95">
          <cell r="C95" t="str">
            <v>PI4_CFL</v>
          </cell>
          <cell r="D95">
            <v>12000</v>
          </cell>
          <cell r="E95" t="str">
            <v>KPN</v>
          </cell>
          <cell r="F95" t="str">
            <v>Refleksija</v>
          </cell>
        </row>
        <row r="96">
          <cell r="C96" t="str">
            <v>PI4_SQUARE_CFL</v>
          </cell>
          <cell r="D96">
            <v>12000</v>
          </cell>
          <cell r="E96" t="str">
            <v>KPN</v>
          </cell>
          <cell r="F96" t="str">
            <v>Opal</v>
          </cell>
        </row>
        <row r="97">
          <cell r="C97" t="str">
            <v>MH</v>
          </cell>
          <cell r="D97">
            <v>15000</v>
          </cell>
          <cell r="E97" t="str">
            <v>KPN</v>
          </cell>
          <cell r="F97" t="str">
            <v>Refleksija</v>
          </cell>
        </row>
        <row r="98">
          <cell r="C98" t="str">
            <v>HPS</v>
          </cell>
          <cell r="D98">
            <v>10000</v>
          </cell>
          <cell r="E98" t="str">
            <v>KPN</v>
          </cell>
          <cell r="F98" t="str">
            <v>Refleksija</v>
          </cell>
        </row>
        <row r="99">
          <cell r="C99" t="str">
            <v>MV</v>
          </cell>
          <cell r="D99">
            <v>24000</v>
          </cell>
          <cell r="E99" t="str">
            <v>KPN</v>
          </cell>
          <cell r="F99" t="str">
            <v>Refleksija</v>
          </cell>
        </row>
        <row r="100">
          <cell r="C100" t="str">
            <v>LED</v>
          </cell>
          <cell r="D100">
            <v>55000</v>
          </cell>
          <cell r="E100" t="str">
            <v>/</v>
          </cell>
          <cell r="F100" t="str">
            <v>Brez</v>
          </cell>
        </row>
        <row r="101">
          <cell r="C101"/>
          <cell r="D101"/>
          <cell r="E101"/>
          <cell r="F101"/>
        </row>
        <row r="102">
          <cell r="C102"/>
          <cell r="D102"/>
          <cell r="E102"/>
          <cell r="F102"/>
        </row>
        <row r="109">
          <cell r="C109" t="str">
            <v>Nitka-5W</v>
          </cell>
          <cell r="F109">
            <v>20</v>
          </cell>
          <cell r="H109">
            <v>0</v>
          </cell>
          <cell r="I109">
            <v>0</v>
          </cell>
          <cell r="J109">
            <v>0.55999999999999994</v>
          </cell>
        </row>
        <row r="110">
          <cell r="C110" t="str">
            <v>Nitka-15W</v>
          </cell>
          <cell r="F110">
            <v>88</v>
          </cell>
          <cell r="H110">
            <v>0</v>
          </cell>
          <cell r="I110">
            <v>0</v>
          </cell>
          <cell r="J110">
            <v>0.8</v>
          </cell>
        </row>
        <row r="111">
          <cell r="C111" t="str">
            <v>Nitka-25W</v>
          </cell>
          <cell r="F111">
            <v>160</v>
          </cell>
          <cell r="H111">
            <v>0</v>
          </cell>
          <cell r="I111">
            <v>0</v>
          </cell>
          <cell r="J111">
            <v>1.2000000000000002</v>
          </cell>
        </row>
        <row r="112">
          <cell r="C112" t="str">
            <v>Nitka-35W</v>
          </cell>
          <cell r="F112">
            <v>280</v>
          </cell>
          <cell r="H112">
            <v>0</v>
          </cell>
          <cell r="I112">
            <v>0</v>
          </cell>
          <cell r="J112">
            <v>1.2800000000000002</v>
          </cell>
        </row>
        <row r="113">
          <cell r="C113" t="str">
            <v>Nitka-40W</v>
          </cell>
          <cell r="F113">
            <v>400</v>
          </cell>
          <cell r="H113">
            <v>0</v>
          </cell>
          <cell r="I113">
            <v>0</v>
          </cell>
          <cell r="J113">
            <v>1.36</v>
          </cell>
        </row>
        <row r="114">
          <cell r="C114" t="str">
            <v>Nitka-50W</v>
          </cell>
          <cell r="F114">
            <v>560</v>
          </cell>
          <cell r="H114">
            <v>0</v>
          </cell>
          <cell r="I114">
            <v>0</v>
          </cell>
          <cell r="J114">
            <v>1.4400000000000002</v>
          </cell>
        </row>
        <row r="115">
          <cell r="C115" t="str">
            <v>Nitka-55W</v>
          </cell>
          <cell r="F115">
            <v>640</v>
          </cell>
          <cell r="H115">
            <v>0</v>
          </cell>
          <cell r="I115">
            <v>0</v>
          </cell>
          <cell r="J115">
            <v>1.52</v>
          </cell>
        </row>
        <row r="116">
          <cell r="C116" t="str">
            <v>Nitka-60W</v>
          </cell>
          <cell r="F116">
            <v>680</v>
          </cell>
          <cell r="H116">
            <v>0</v>
          </cell>
          <cell r="I116">
            <v>0</v>
          </cell>
          <cell r="J116">
            <v>1.6</v>
          </cell>
        </row>
        <row r="117">
          <cell r="C117" t="str">
            <v>Nitka-65W</v>
          </cell>
          <cell r="F117">
            <v>800</v>
          </cell>
          <cell r="H117">
            <v>0</v>
          </cell>
          <cell r="I117">
            <v>0</v>
          </cell>
          <cell r="J117">
            <v>1.8</v>
          </cell>
        </row>
        <row r="118">
          <cell r="C118" t="str">
            <v>Nitka-70W</v>
          </cell>
          <cell r="F118">
            <v>880</v>
          </cell>
          <cell r="H118">
            <v>0</v>
          </cell>
          <cell r="I118">
            <v>0</v>
          </cell>
          <cell r="J118">
            <v>1.92</v>
          </cell>
        </row>
        <row r="119">
          <cell r="C119" t="str">
            <v>Nitka-75W</v>
          </cell>
          <cell r="F119">
            <v>960</v>
          </cell>
          <cell r="H119">
            <v>0</v>
          </cell>
          <cell r="I119">
            <v>0</v>
          </cell>
          <cell r="J119">
            <v>2</v>
          </cell>
        </row>
        <row r="120">
          <cell r="C120" t="str">
            <v>Nitka-90W</v>
          </cell>
          <cell r="F120">
            <v>1160</v>
          </cell>
          <cell r="H120">
            <v>0</v>
          </cell>
          <cell r="I120">
            <v>0</v>
          </cell>
          <cell r="J120">
            <v>2</v>
          </cell>
        </row>
        <row r="121">
          <cell r="C121" t="str">
            <v>Nitka-95W</v>
          </cell>
          <cell r="F121">
            <v>1280</v>
          </cell>
          <cell r="H121">
            <v>0</v>
          </cell>
          <cell r="I121">
            <v>0</v>
          </cell>
          <cell r="J121">
            <v>2</v>
          </cell>
        </row>
        <row r="122">
          <cell r="C122" t="str">
            <v>Nitka-100W</v>
          </cell>
          <cell r="F122">
            <v>1360</v>
          </cell>
          <cell r="H122">
            <v>0</v>
          </cell>
          <cell r="I122">
            <v>0</v>
          </cell>
          <cell r="J122">
            <v>2</v>
          </cell>
        </row>
        <row r="123">
          <cell r="C123" t="str">
            <v>Nitka-135W</v>
          </cell>
          <cell r="F123">
            <v>1880</v>
          </cell>
          <cell r="H123">
            <v>0</v>
          </cell>
          <cell r="I123">
            <v>0</v>
          </cell>
          <cell r="J123">
            <v>2</v>
          </cell>
        </row>
        <row r="124">
          <cell r="C124" t="str">
            <v>Nitka-150W</v>
          </cell>
          <cell r="F124">
            <v>2280</v>
          </cell>
          <cell r="H124">
            <v>0</v>
          </cell>
          <cell r="I124">
            <v>0</v>
          </cell>
          <cell r="J124">
            <v>2.5</v>
          </cell>
        </row>
        <row r="125">
          <cell r="C125" t="str">
            <v>Nitka-200W</v>
          </cell>
          <cell r="F125">
            <v>3120</v>
          </cell>
          <cell r="H125">
            <v>0</v>
          </cell>
          <cell r="I125">
            <v>0</v>
          </cell>
          <cell r="J125">
            <v>3</v>
          </cell>
        </row>
        <row r="126">
          <cell r="C126" t="str">
            <v>Nitka-300W</v>
          </cell>
          <cell r="F126">
            <v>4960</v>
          </cell>
          <cell r="H126">
            <v>0</v>
          </cell>
          <cell r="I126">
            <v>0</v>
          </cell>
          <cell r="J126">
            <v>4</v>
          </cell>
        </row>
        <row r="127">
          <cell r="C127" t="str">
            <v>Halo-29W</v>
          </cell>
          <cell r="F127">
            <v>380</v>
          </cell>
          <cell r="H127">
            <v>0</v>
          </cell>
          <cell r="I127">
            <v>0</v>
          </cell>
          <cell r="J127">
            <v>1.6</v>
          </cell>
        </row>
        <row r="128">
          <cell r="C128" t="str">
            <v>Halo-42W</v>
          </cell>
          <cell r="F128">
            <v>725</v>
          </cell>
          <cell r="H128">
            <v>0</v>
          </cell>
          <cell r="I128">
            <v>0</v>
          </cell>
          <cell r="J128">
            <v>2</v>
          </cell>
        </row>
        <row r="129">
          <cell r="C129" t="str">
            <v>Halo-43W</v>
          </cell>
          <cell r="F129">
            <v>750</v>
          </cell>
          <cell r="H129">
            <v>0</v>
          </cell>
          <cell r="I129">
            <v>0</v>
          </cell>
          <cell r="J129">
            <v>2</v>
          </cell>
        </row>
        <row r="130">
          <cell r="C130" t="str">
            <v>Halo-53W</v>
          </cell>
          <cell r="F130">
            <v>1050</v>
          </cell>
          <cell r="H130">
            <v>0</v>
          </cell>
          <cell r="I130">
            <v>0</v>
          </cell>
          <cell r="J130">
            <v>3.2</v>
          </cell>
        </row>
        <row r="131">
          <cell r="C131" t="str">
            <v>Halo-72W</v>
          </cell>
          <cell r="F131">
            <v>1490</v>
          </cell>
          <cell r="H131">
            <v>0</v>
          </cell>
          <cell r="I131">
            <v>0</v>
          </cell>
          <cell r="J131">
            <v>3.2</v>
          </cell>
        </row>
        <row r="132">
          <cell r="C132" t="str">
            <v>Halo-150W</v>
          </cell>
          <cell r="F132">
            <v>2650</v>
          </cell>
          <cell r="H132">
            <v>0</v>
          </cell>
          <cell r="I132">
            <v>0</v>
          </cell>
          <cell r="J132">
            <v>3.2</v>
          </cell>
        </row>
        <row r="133">
          <cell r="C133" t="str">
            <v>CFL-5W</v>
          </cell>
          <cell r="F133">
            <v>280</v>
          </cell>
          <cell r="H133">
            <v>0</v>
          </cell>
          <cell r="I133">
            <v>0</v>
          </cell>
          <cell r="J133">
            <v>3</v>
          </cell>
        </row>
        <row r="134">
          <cell r="C134" t="str">
            <v>CFL-9W</v>
          </cell>
          <cell r="F134">
            <v>540</v>
          </cell>
          <cell r="H134">
            <v>0</v>
          </cell>
          <cell r="I134">
            <v>0</v>
          </cell>
          <cell r="J134">
            <v>3</v>
          </cell>
        </row>
        <row r="135">
          <cell r="C135" t="str">
            <v>CFL-11W</v>
          </cell>
          <cell r="F135">
            <v>700</v>
          </cell>
          <cell r="H135">
            <v>0</v>
          </cell>
          <cell r="I135">
            <v>0</v>
          </cell>
          <cell r="J135">
            <v>3.5</v>
          </cell>
        </row>
        <row r="136">
          <cell r="C136" t="str">
            <v>CFL-13W</v>
          </cell>
          <cell r="F136">
            <v>800</v>
          </cell>
          <cell r="H136">
            <v>0</v>
          </cell>
          <cell r="I136">
            <v>0</v>
          </cell>
          <cell r="J136">
            <v>4.5</v>
          </cell>
        </row>
        <row r="137">
          <cell r="C137" t="str">
            <v>CFL-15W</v>
          </cell>
          <cell r="F137">
            <v>850</v>
          </cell>
          <cell r="H137">
            <v>0</v>
          </cell>
          <cell r="I137">
            <v>0</v>
          </cell>
          <cell r="J137">
            <v>6</v>
          </cell>
        </row>
        <row r="138">
          <cell r="C138" t="str">
            <v>CFL-14W</v>
          </cell>
          <cell r="F138">
            <v>900</v>
          </cell>
          <cell r="H138">
            <v>0</v>
          </cell>
          <cell r="I138">
            <v>0</v>
          </cell>
          <cell r="J138">
            <v>5</v>
          </cell>
        </row>
        <row r="139">
          <cell r="C139" t="str">
            <v>CFL-18W</v>
          </cell>
          <cell r="F139">
            <v>1200</v>
          </cell>
          <cell r="H139">
            <v>0</v>
          </cell>
          <cell r="I139">
            <v>0</v>
          </cell>
          <cell r="J139">
            <v>6</v>
          </cell>
        </row>
        <row r="140">
          <cell r="C140" t="str">
            <v>CFL-20W</v>
          </cell>
          <cell r="F140">
            <v>1200</v>
          </cell>
          <cell r="H140">
            <v>0</v>
          </cell>
          <cell r="I140">
            <v>0</v>
          </cell>
          <cell r="J140">
            <v>7</v>
          </cell>
        </row>
        <row r="141">
          <cell r="C141" t="str">
            <v>CFL-23W</v>
          </cell>
          <cell r="F141">
            <v>1600</v>
          </cell>
          <cell r="H141">
            <v>0</v>
          </cell>
          <cell r="I141">
            <v>0</v>
          </cell>
          <cell r="J141">
            <v>7.5</v>
          </cell>
        </row>
        <row r="142">
          <cell r="C142" t="str">
            <v>CFL-26W</v>
          </cell>
          <cell r="F142">
            <v>1750</v>
          </cell>
          <cell r="H142">
            <v>0</v>
          </cell>
          <cell r="I142">
            <v>0</v>
          </cell>
          <cell r="J142">
            <v>8</v>
          </cell>
        </row>
        <row r="143">
          <cell r="C143" t="str">
            <v>CFL-27W</v>
          </cell>
          <cell r="F143">
            <v>1800</v>
          </cell>
          <cell r="H143">
            <v>0</v>
          </cell>
          <cell r="I143">
            <v>0</v>
          </cell>
          <cell r="J143">
            <v>8</v>
          </cell>
        </row>
        <row r="144">
          <cell r="C144" t="str">
            <v>CFL-30W</v>
          </cell>
          <cell r="F144">
            <v>2000</v>
          </cell>
          <cell r="H144">
            <v>0</v>
          </cell>
          <cell r="I144">
            <v>0</v>
          </cell>
          <cell r="J144">
            <v>8</v>
          </cell>
        </row>
        <row r="145">
          <cell r="C145" t="str">
            <v>CFL-32W</v>
          </cell>
          <cell r="F145">
            <v>2200</v>
          </cell>
          <cell r="H145">
            <v>0</v>
          </cell>
          <cell r="I145">
            <v>0</v>
          </cell>
          <cell r="J145">
            <v>8.5</v>
          </cell>
        </row>
        <row r="146">
          <cell r="C146" t="str">
            <v>CFL-40W</v>
          </cell>
          <cell r="F146">
            <v>2600</v>
          </cell>
          <cell r="H146">
            <v>0</v>
          </cell>
          <cell r="I146">
            <v>0</v>
          </cell>
          <cell r="J146">
            <v>9</v>
          </cell>
        </row>
        <row r="147">
          <cell r="C147" t="str">
            <v>CFL-42W</v>
          </cell>
          <cell r="F147">
            <v>2750</v>
          </cell>
          <cell r="H147">
            <v>0</v>
          </cell>
          <cell r="I147">
            <v>0</v>
          </cell>
          <cell r="J147">
            <v>9</v>
          </cell>
        </row>
        <row r="148">
          <cell r="C148" t="str">
            <v>CFL-55W</v>
          </cell>
          <cell r="F148">
            <v>3600</v>
          </cell>
          <cell r="H148">
            <v>0</v>
          </cell>
          <cell r="I148">
            <v>0</v>
          </cell>
          <cell r="J148">
            <v>10</v>
          </cell>
        </row>
        <row r="149">
          <cell r="C149" t="str">
            <v>CFL-85W</v>
          </cell>
          <cell r="F149">
            <v>5800</v>
          </cell>
          <cell r="H149">
            <v>0</v>
          </cell>
          <cell r="I149">
            <v>0</v>
          </cell>
          <cell r="J149">
            <v>15</v>
          </cell>
        </row>
        <row r="150">
          <cell r="C150" t="str">
            <v>CFL-105W</v>
          </cell>
          <cell r="F150">
            <v>7000</v>
          </cell>
          <cell r="H150">
            <v>0</v>
          </cell>
          <cell r="I150">
            <v>0</v>
          </cell>
          <cell r="J150">
            <v>20</v>
          </cell>
        </row>
        <row r="151">
          <cell r="C151" t="str">
            <v>CFL-200W</v>
          </cell>
          <cell r="F151">
            <v>10000</v>
          </cell>
          <cell r="H151">
            <v>0</v>
          </cell>
          <cell r="I151">
            <v>0</v>
          </cell>
          <cell r="J151">
            <v>30</v>
          </cell>
        </row>
        <row r="152">
          <cell r="C152" t="str">
            <v>T8 Fluo-10W</v>
          </cell>
          <cell r="F152">
            <v>480</v>
          </cell>
          <cell r="H152">
            <v>0.50352980000000003</v>
          </cell>
          <cell r="I152">
            <v>0.14124900000000001</v>
          </cell>
          <cell r="J152">
            <v>3</v>
          </cell>
        </row>
        <row r="153">
          <cell r="C153" t="str">
            <v>T8 Fluo-13W</v>
          </cell>
          <cell r="F153">
            <v>850</v>
          </cell>
          <cell r="H153">
            <v>0.49164374</v>
          </cell>
          <cell r="I153">
            <v>0.1388607</v>
          </cell>
          <cell r="J153">
            <v>3.5</v>
          </cell>
        </row>
        <row r="154">
          <cell r="C154" t="str">
            <v>T8 Fluo-14W</v>
          </cell>
          <cell r="F154">
            <v>685</v>
          </cell>
          <cell r="H154">
            <v>0.48768171999999999</v>
          </cell>
          <cell r="I154">
            <v>0.13806460000000001</v>
          </cell>
          <cell r="J154">
            <v>4</v>
          </cell>
        </row>
        <row r="155">
          <cell r="C155" t="str">
            <v>T8 Fluo-15W</v>
          </cell>
          <cell r="F155">
            <v>845</v>
          </cell>
          <cell r="H155">
            <v>0.48371969999999997</v>
          </cell>
          <cell r="I155">
            <v>0.13726850000000002</v>
          </cell>
          <cell r="J155">
            <v>4.5</v>
          </cell>
        </row>
        <row r="156">
          <cell r="C156" t="str">
            <v>T8 Fluo-17W</v>
          </cell>
          <cell r="F156">
            <v>1300</v>
          </cell>
          <cell r="H156">
            <v>0.47579566000000001</v>
          </cell>
          <cell r="I156">
            <v>0.1356763</v>
          </cell>
          <cell r="J156">
            <v>5</v>
          </cell>
        </row>
        <row r="157">
          <cell r="C157" t="str">
            <v>T8 Fluo-18W</v>
          </cell>
          <cell r="F157">
            <v>1400</v>
          </cell>
          <cell r="H157">
            <v>0.47183364</v>
          </cell>
          <cell r="I157">
            <v>0.13488020000000001</v>
          </cell>
          <cell r="J157">
            <v>5</v>
          </cell>
        </row>
        <row r="158">
          <cell r="C158" t="str">
            <v>T8 Fluo-21W</v>
          </cell>
          <cell r="F158">
            <v>1800</v>
          </cell>
          <cell r="H158">
            <v>0.45994757999999997</v>
          </cell>
          <cell r="I158">
            <v>0.1324919</v>
          </cell>
          <cell r="J158">
            <v>5.5</v>
          </cell>
        </row>
        <row r="159">
          <cell r="C159" t="str">
            <v>T8 Fluo-25W</v>
          </cell>
          <cell r="F159">
            <v>2250</v>
          </cell>
          <cell r="H159">
            <v>0.44409949999999998</v>
          </cell>
          <cell r="I159">
            <v>0.12930750000000002</v>
          </cell>
          <cell r="J159">
            <v>6</v>
          </cell>
        </row>
        <row r="160">
          <cell r="C160" t="str">
            <v>T8 Fluo-19W</v>
          </cell>
          <cell r="F160">
            <v>1275</v>
          </cell>
          <cell r="H160">
            <v>0.46787161999999993</v>
          </cell>
          <cell r="I160">
            <v>0.13408410000000001</v>
          </cell>
          <cell r="J160">
            <v>5.5</v>
          </cell>
        </row>
        <row r="161">
          <cell r="C161" t="str">
            <v>T8 Fluo-28W</v>
          </cell>
          <cell r="F161">
            <v>2800</v>
          </cell>
          <cell r="H161">
            <v>0.43221344</v>
          </cell>
          <cell r="I161">
            <v>0.12691920000000001</v>
          </cell>
          <cell r="J161">
            <v>7</v>
          </cell>
        </row>
        <row r="162">
          <cell r="C162" t="str">
            <v>T8 Fluo-30W</v>
          </cell>
          <cell r="F162">
            <v>2850</v>
          </cell>
          <cell r="H162">
            <v>0.42428940000000004</v>
          </cell>
          <cell r="I162">
            <v>0.12532700000000002</v>
          </cell>
          <cell r="J162">
            <v>9</v>
          </cell>
        </row>
        <row r="163">
          <cell r="C163" t="str">
            <v>T8 Fluo-32W</v>
          </cell>
          <cell r="F163">
            <v>2600</v>
          </cell>
          <cell r="H163">
            <v>0.41636535999999996</v>
          </cell>
          <cell r="I163">
            <v>0.12373480000000001</v>
          </cell>
          <cell r="J163">
            <v>8</v>
          </cell>
        </row>
        <row r="164">
          <cell r="C164" t="str">
            <v>T8 Fluo-36W</v>
          </cell>
          <cell r="F164">
            <v>3350</v>
          </cell>
          <cell r="H164">
            <v>0.40051728000000003</v>
          </cell>
          <cell r="I164">
            <v>0.1205504</v>
          </cell>
          <cell r="J164">
            <v>6</v>
          </cell>
        </row>
        <row r="165">
          <cell r="C165" t="str">
            <v>T8 Fluo-40W</v>
          </cell>
          <cell r="F165">
            <v>3350</v>
          </cell>
          <cell r="H165">
            <v>0.38466919999999999</v>
          </cell>
          <cell r="I165">
            <v>0.11736600000000001</v>
          </cell>
          <cell r="J165">
            <v>9</v>
          </cell>
        </row>
        <row r="166">
          <cell r="C166" t="str">
            <v>T8 Fluo-58W</v>
          </cell>
          <cell r="F166">
            <v>5200</v>
          </cell>
          <cell r="H166">
            <v>0.31335284000000002</v>
          </cell>
          <cell r="I166">
            <v>0.10303620000000001</v>
          </cell>
          <cell r="J166">
            <v>7</v>
          </cell>
        </row>
        <row r="167">
          <cell r="C167" t="str">
            <v>T8 Fluo-65W</v>
          </cell>
          <cell r="F167">
            <v>5200</v>
          </cell>
          <cell r="H167">
            <v>0.2856187</v>
          </cell>
          <cell r="I167">
            <v>9.7463500000000008E-2</v>
          </cell>
          <cell r="J167">
            <v>7</v>
          </cell>
        </row>
        <row r="168">
          <cell r="C168" t="str">
            <v>T8 Fluo-70W</v>
          </cell>
          <cell r="F168">
            <v>6300</v>
          </cell>
          <cell r="H168">
            <v>0.26580860000000001</v>
          </cell>
          <cell r="I168">
            <v>9.3483000000000011E-2</v>
          </cell>
          <cell r="J168">
            <v>10</v>
          </cell>
        </row>
        <row r="169">
          <cell r="C169" t="str">
            <v>T5 Fluo-4W</v>
          </cell>
          <cell r="F169">
            <v>135</v>
          </cell>
          <cell r="H169">
            <v>0.52730191999999998</v>
          </cell>
          <cell r="I169">
            <v>0.14602560000000001</v>
          </cell>
          <cell r="J169">
            <v>3</v>
          </cell>
        </row>
        <row r="170">
          <cell r="C170" t="str">
            <v>T5 Fluo-3W</v>
          </cell>
          <cell r="F170">
            <v>250</v>
          </cell>
          <cell r="H170">
            <v>0.53126393999999999</v>
          </cell>
          <cell r="I170">
            <v>0.1468217</v>
          </cell>
          <cell r="J170">
            <v>3</v>
          </cell>
        </row>
        <row r="171">
          <cell r="C171" t="str">
            <v>T5 Fluo-8W</v>
          </cell>
          <cell r="F171">
            <v>400</v>
          </cell>
          <cell r="H171">
            <v>0.51145383999999994</v>
          </cell>
          <cell r="I171">
            <v>0.1428412</v>
          </cell>
          <cell r="J171">
            <v>3</v>
          </cell>
        </row>
        <row r="172">
          <cell r="C172" t="str">
            <v>T5 Fluo-13W</v>
          </cell>
          <cell r="F172">
            <v>870</v>
          </cell>
          <cell r="H172">
            <v>0.49164374</v>
          </cell>
          <cell r="I172">
            <v>0.1388607</v>
          </cell>
          <cell r="J172">
            <v>4</v>
          </cell>
        </row>
        <row r="173">
          <cell r="C173" t="str">
            <v>T5 Fluo-14W</v>
          </cell>
          <cell r="F173">
            <v>1350</v>
          </cell>
          <cell r="H173">
            <v>0.48768171999999999</v>
          </cell>
          <cell r="I173">
            <v>0.13806460000000001</v>
          </cell>
          <cell r="J173">
            <v>5</v>
          </cell>
        </row>
        <row r="174">
          <cell r="C174" t="str">
            <v>T5 Fluo-21W</v>
          </cell>
          <cell r="F174">
            <v>2100</v>
          </cell>
          <cell r="H174">
            <v>0.45994757999999997</v>
          </cell>
          <cell r="I174">
            <v>0.1324919</v>
          </cell>
          <cell r="J174">
            <v>5</v>
          </cell>
        </row>
        <row r="175">
          <cell r="C175" t="str">
            <v>T5 Fluo-26W</v>
          </cell>
          <cell r="F175">
            <v>2600</v>
          </cell>
          <cell r="H175">
            <v>0.44013748000000003</v>
          </cell>
          <cell r="I175">
            <v>0.1285114</v>
          </cell>
          <cell r="J175">
            <v>8</v>
          </cell>
        </row>
        <row r="176">
          <cell r="C176" t="str">
            <v>T5 Fluo-28W</v>
          </cell>
          <cell r="F176">
            <v>2900</v>
          </cell>
          <cell r="H176">
            <v>0.43221344</v>
          </cell>
          <cell r="I176">
            <v>0.12691920000000001</v>
          </cell>
          <cell r="J176">
            <v>6</v>
          </cell>
        </row>
        <row r="177">
          <cell r="C177" t="str">
            <v>T5 Fluo-35W</v>
          </cell>
          <cell r="F177">
            <v>3650</v>
          </cell>
          <cell r="H177">
            <v>0.40447929999999999</v>
          </cell>
          <cell r="I177">
            <v>0.12134650000000001</v>
          </cell>
          <cell r="J177">
            <v>9</v>
          </cell>
        </row>
        <row r="178">
          <cell r="C178" t="str">
            <v>T5 Fluo-24W</v>
          </cell>
          <cell r="F178">
            <v>2000</v>
          </cell>
          <cell r="H178">
            <v>0.44806151999999999</v>
          </cell>
          <cell r="I178">
            <v>0.13010360000000001</v>
          </cell>
          <cell r="J178">
            <v>7</v>
          </cell>
        </row>
        <row r="179">
          <cell r="C179" t="str">
            <v>T5 Fluo-39W</v>
          </cell>
          <cell r="F179">
            <v>3500</v>
          </cell>
          <cell r="H179">
            <v>0.38863122</v>
          </cell>
          <cell r="I179">
            <v>0.11816210000000001</v>
          </cell>
          <cell r="J179">
            <v>7</v>
          </cell>
        </row>
        <row r="180">
          <cell r="C180" t="str">
            <v>T5 Fluo-54W</v>
          </cell>
          <cell r="F180">
            <v>5000</v>
          </cell>
          <cell r="H180">
            <v>0.32920092000000001</v>
          </cell>
          <cell r="I180">
            <v>0.10622060000000001</v>
          </cell>
          <cell r="J180">
            <v>7</v>
          </cell>
        </row>
        <row r="181">
          <cell r="C181" t="str">
            <v>T5 Fluo-80W</v>
          </cell>
          <cell r="F181">
            <v>7000</v>
          </cell>
          <cell r="H181">
            <v>0.22618840000000001</v>
          </cell>
          <cell r="I181">
            <v>8.5522000000000015E-2</v>
          </cell>
          <cell r="J181">
            <v>10</v>
          </cell>
        </row>
        <row r="182">
          <cell r="C182" t="str">
            <v>PI2_CFL-5W</v>
          </cell>
          <cell r="F182">
            <v>250</v>
          </cell>
          <cell r="H182">
            <v>0.30784699999999998</v>
          </cell>
          <cell r="I182">
            <v>0.14522950000000001</v>
          </cell>
          <cell r="J182">
            <v>3.5</v>
          </cell>
        </row>
        <row r="183">
          <cell r="C183" t="str">
            <v>PI2_CFL-7W</v>
          </cell>
          <cell r="F183">
            <v>400</v>
          </cell>
          <cell r="H183">
            <v>0.30318580000000001</v>
          </cell>
          <cell r="I183">
            <v>0.14363730000000002</v>
          </cell>
          <cell r="J183">
            <v>4</v>
          </cell>
        </row>
        <row r="184">
          <cell r="C184" t="str">
            <v>PI2_CFL-9W</v>
          </cell>
          <cell r="F184">
            <v>600</v>
          </cell>
          <cell r="H184">
            <v>0.29852460000000003</v>
          </cell>
          <cell r="I184">
            <v>0.14204510000000001</v>
          </cell>
          <cell r="J184">
            <v>5.6</v>
          </cell>
        </row>
        <row r="185">
          <cell r="C185" t="str">
            <v>PI2_CFL-13W</v>
          </cell>
          <cell r="F185">
            <v>900</v>
          </cell>
          <cell r="H185">
            <v>0.28920220000000002</v>
          </cell>
          <cell r="I185">
            <v>0.1388607</v>
          </cell>
          <cell r="J185">
            <v>5.5</v>
          </cell>
        </row>
        <row r="186">
          <cell r="C186" t="str">
            <v>PI2_CFL-18W</v>
          </cell>
          <cell r="F186">
            <v>1200</v>
          </cell>
          <cell r="H186">
            <v>0.2775492</v>
          </cell>
          <cell r="I186">
            <v>0.13488020000000001</v>
          </cell>
          <cell r="J186">
            <v>6</v>
          </cell>
        </row>
        <row r="187">
          <cell r="C187" t="str">
            <v>PI2_CFL-22W</v>
          </cell>
          <cell r="F187">
            <v>1300</v>
          </cell>
          <cell r="H187">
            <v>0.26822679999999999</v>
          </cell>
          <cell r="I187">
            <v>0.1316958</v>
          </cell>
          <cell r="J187">
            <v>6.5</v>
          </cell>
        </row>
        <row r="188">
          <cell r="C188" t="str">
            <v>PI2_CFL-26W</v>
          </cell>
          <cell r="F188">
            <v>1800</v>
          </cell>
          <cell r="H188">
            <v>0.25890440000000003</v>
          </cell>
          <cell r="I188">
            <v>0.1285114</v>
          </cell>
          <cell r="J188">
            <v>7</v>
          </cell>
        </row>
        <row r="189">
          <cell r="C189" t="str">
            <v>PI2_CFL-28W</v>
          </cell>
          <cell r="F189">
            <v>1600</v>
          </cell>
          <cell r="H189">
            <v>0.2542432</v>
          </cell>
          <cell r="I189">
            <v>0.12691920000000001</v>
          </cell>
          <cell r="J189">
            <v>7</v>
          </cell>
        </row>
        <row r="190">
          <cell r="C190" t="str">
            <v>PI4_CFL-7W</v>
          </cell>
          <cell r="F190">
            <v>400</v>
          </cell>
          <cell r="H190">
            <v>0.30318580000000001</v>
          </cell>
          <cell r="I190">
            <v>0.14363730000000002</v>
          </cell>
          <cell r="J190">
            <v>5</v>
          </cell>
        </row>
        <row r="191">
          <cell r="C191" t="str">
            <v>PI4_CFL-9W</v>
          </cell>
          <cell r="F191">
            <v>600</v>
          </cell>
          <cell r="H191">
            <v>0.29852460000000003</v>
          </cell>
          <cell r="I191">
            <v>0.14204510000000001</v>
          </cell>
          <cell r="J191">
            <v>5.5</v>
          </cell>
        </row>
        <row r="192">
          <cell r="C192" t="str">
            <v>PI4_CFL-12W</v>
          </cell>
          <cell r="F192">
            <v>800</v>
          </cell>
          <cell r="H192">
            <v>0.29153280000000004</v>
          </cell>
          <cell r="I192">
            <v>0.1396568</v>
          </cell>
          <cell r="J192">
            <v>5.8</v>
          </cell>
        </row>
        <row r="193">
          <cell r="C193" t="str">
            <v>PI4_CFL-13W</v>
          </cell>
          <cell r="F193">
            <v>1000</v>
          </cell>
          <cell r="H193">
            <v>0.28920220000000002</v>
          </cell>
          <cell r="I193">
            <v>0.1388607</v>
          </cell>
          <cell r="J193">
            <v>5.9</v>
          </cell>
        </row>
        <row r="194">
          <cell r="C194" t="str">
            <v>PI4_CFL-18W</v>
          </cell>
          <cell r="F194">
            <v>1200</v>
          </cell>
          <cell r="H194">
            <v>0.2775492</v>
          </cell>
          <cell r="I194">
            <v>0.13488020000000001</v>
          </cell>
          <cell r="J194">
            <v>6</v>
          </cell>
        </row>
        <row r="195">
          <cell r="C195" t="str">
            <v>PI4_CFL-21W</v>
          </cell>
          <cell r="F195">
            <v>1550</v>
          </cell>
          <cell r="H195">
            <v>0.2705574</v>
          </cell>
          <cell r="I195">
            <v>0.1324919</v>
          </cell>
          <cell r="J195">
            <v>6</v>
          </cell>
        </row>
        <row r="196">
          <cell r="C196" t="str">
            <v>PI4_CFL-24W</v>
          </cell>
          <cell r="F196">
            <v>1800</v>
          </cell>
          <cell r="H196">
            <v>0.26356560000000001</v>
          </cell>
          <cell r="I196">
            <v>0.13010360000000001</v>
          </cell>
          <cell r="J196">
            <v>6.5</v>
          </cell>
        </row>
        <row r="197">
          <cell r="C197" t="str">
            <v>PI4_CFL-25W</v>
          </cell>
          <cell r="F197">
            <v>2600</v>
          </cell>
          <cell r="H197">
            <v>0.26123499999999999</v>
          </cell>
          <cell r="I197">
            <v>0.12930750000000002</v>
          </cell>
          <cell r="J197">
            <v>6.5</v>
          </cell>
        </row>
        <row r="198">
          <cell r="C198" t="str">
            <v>PI4_CFL-26W</v>
          </cell>
          <cell r="F198">
            <v>1800</v>
          </cell>
          <cell r="H198">
            <v>0.25890440000000003</v>
          </cell>
          <cell r="I198">
            <v>0.1285114</v>
          </cell>
          <cell r="J198">
            <v>7</v>
          </cell>
        </row>
        <row r="199">
          <cell r="C199" t="str">
            <v>PI4_CFL-27W</v>
          </cell>
          <cell r="F199">
            <v>1400</v>
          </cell>
          <cell r="H199">
            <v>0.25657380000000002</v>
          </cell>
          <cell r="I199">
            <v>0.1277153</v>
          </cell>
          <cell r="J199">
            <v>7</v>
          </cell>
        </row>
        <row r="200">
          <cell r="C200" t="str">
            <v>PI4_CFL-28W</v>
          </cell>
          <cell r="F200">
            <v>2750</v>
          </cell>
          <cell r="H200">
            <v>0.2542432</v>
          </cell>
          <cell r="I200">
            <v>0.12691920000000001</v>
          </cell>
          <cell r="J200">
            <v>7.5</v>
          </cell>
        </row>
        <row r="201">
          <cell r="C201" t="str">
            <v>PI4_CFL-32W</v>
          </cell>
          <cell r="F201">
            <v>2400</v>
          </cell>
          <cell r="H201">
            <v>0.24492079999999999</v>
          </cell>
          <cell r="I201">
            <v>0.12373480000000001</v>
          </cell>
          <cell r="J201">
            <v>8</v>
          </cell>
        </row>
        <row r="202">
          <cell r="C202" t="str">
            <v>PI4_CFL-36W</v>
          </cell>
          <cell r="F202">
            <v>2900</v>
          </cell>
          <cell r="H202">
            <v>0.23559840000000001</v>
          </cell>
          <cell r="I202">
            <v>0.1205504</v>
          </cell>
          <cell r="J202">
            <v>8.5</v>
          </cell>
        </row>
        <row r="203">
          <cell r="C203" t="str">
            <v>PI4_CFL-40W</v>
          </cell>
          <cell r="F203">
            <v>3150</v>
          </cell>
          <cell r="H203">
            <v>0.226276</v>
          </cell>
          <cell r="I203">
            <v>0.11736600000000001</v>
          </cell>
          <cell r="J203">
            <v>9</v>
          </cell>
        </row>
        <row r="204">
          <cell r="C204" t="str">
            <v>PI4_CFL-42W</v>
          </cell>
          <cell r="F204">
            <v>3200</v>
          </cell>
          <cell r="H204">
            <v>0.2216148</v>
          </cell>
          <cell r="I204">
            <v>0.11577380000000001</v>
          </cell>
          <cell r="J204">
            <v>9</v>
          </cell>
        </row>
        <row r="205">
          <cell r="C205" t="str">
            <v>PI4_CFL-50W</v>
          </cell>
          <cell r="F205">
            <v>4000</v>
          </cell>
          <cell r="H205">
            <v>0.20297000000000001</v>
          </cell>
          <cell r="I205">
            <v>0.109405</v>
          </cell>
          <cell r="J205">
            <v>9.5</v>
          </cell>
        </row>
        <row r="206">
          <cell r="C206" t="str">
            <v>PI4_CFL-55W</v>
          </cell>
          <cell r="F206">
            <v>4800</v>
          </cell>
          <cell r="H206">
            <v>0.19131700000000001</v>
          </cell>
          <cell r="I206">
            <v>0.1054245</v>
          </cell>
          <cell r="J206">
            <v>10</v>
          </cell>
        </row>
        <row r="207">
          <cell r="C207" t="str">
            <v>PI4_CFL-57W</v>
          </cell>
          <cell r="F207">
            <v>4300</v>
          </cell>
          <cell r="H207">
            <v>0.18665580000000001</v>
          </cell>
          <cell r="I207">
            <v>0.10383230000000002</v>
          </cell>
          <cell r="J207">
            <v>10</v>
          </cell>
        </row>
        <row r="208">
          <cell r="C208" t="str">
            <v>PI4_CFL-70W</v>
          </cell>
          <cell r="F208">
            <v>5200</v>
          </cell>
          <cell r="H208">
            <v>0.156358</v>
          </cell>
          <cell r="I208">
            <v>9.3483000000000011E-2</v>
          </cell>
          <cell r="J208">
            <v>15</v>
          </cell>
        </row>
        <row r="209">
          <cell r="C209" t="str">
            <v>PI4_SQUARE_CFL-16W</v>
          </cell>
          <cell r="F209">
            <v>1000</v>
          </cell>
          <cell r="H209">
            <v>0.28221040000000003</v>
          </cell>
          <cell r="I209">
            <v>0.13647240000000002</v>
          </cell>
          <cell r="J209">
            <v>6</v>
          </cell>
        </row>
        <row r="210">
          <cell r="C210" t="str">
            <v>PI4_SQUARE_CFL-21W</v>
          </cell>
          <cell r="F210">
            <v>1350</v>
          </cell>
          <cell r="H210">
            <v>0.2705574</v>
          </cell>
          <cell r="I210">
            <v>0.1324919</v>
          </cell>
          <cell r="J210">
            <v>10</v>
          </cell>
        </row>
        <row r="211">
          <cell r="C211" t="str">
            <v>PI4_SQUARE_CFL-28W</v>
          </cell>
          <cell r="F211">
            <v>2000</v>
          </cell>
          <cell r="H211">
            <v>0.2542432</v>
          </cell>
          <cell r="I211">
            <v>0.12691920000000001</v>
          </cell>
          <cell r="J211">
            <v>8</v>
          </cell>
        </row>
        <row r="212">
          <cell r="C212" t="str">
            <v>PI4_SQUARE_CFL-38W</v>
          </cell>
          <cell r="F212">
            <v>2800</v>
          </cell>
          <cell r="H212">
            <v>0.23093720000000001</v>
          </cell>
          <cell r="I212">
            <v>0.11895820000000001</v>
          </cell>
          <cell r="J212">
            <v>9</v>
          </cell>
        </row>
        <row r="213">
          <cell r="C213" t="str">
            <v>MH-50W</v>
          </cell>
          <cell r="F213">
            <v>3400</v>
          </cell>
          <cell r="H213">
            <v>0.38</v>
          </cell>
          <cell r="I213">
            <v>0.12</v>
          </cell>
          <cell r="J213">
            <v>10</v>
          </cell>
        </row>
        <row r="214">
          <cell r="C214" t="str">
            <v>MH-70W</v>
          </cell>
          <cell r="F214">
            <v>5200</v>
          </cell>
          <cell r="H214">
            <v>0.34285714285714286</v>
          </cell>
          <cell r="I214">
            <v>0.11428571428571428</v>
          </cell>
          <cell r="J214">
            <v>15</v>
          </cell>
        </row>
        <row r="215">
          <cell r="C215" t="str">
            <v>MH-100W</v>
          </cell>
          <cell r="F215">
            <v>8500</v>
          </cell>
          <cell r="H215">
            <v>0.25</v>
          </cell>
          <cell r="I215">
            <v>0.1</v>
          </cell>
          <cell r="J215">
            <v>18</v>
          </cell>
        </row>
        <row r="216">
          <cell r="C216" t="str">
            <v>MH-150W</v>
          </cell>
          <cell r="F216">
            <v>12900</v>
          </cell>
          <cell r="H216">
            <v>0.23333333333333334</v>
          </cell>
          <cell r="I216">
            <v>9.3333333333333338E-2</v>
          </cell>
          <cell r="J216">
            <v>20</v>
          </cell>
        </row>
        <row r="217">
          <cell r="C217" t="str">
            <v>MH-175W</v>
          </cell>
          <cell r="F217">
            <v>14000</v>
          </cell>
          <cell r="H217">
            <v>0.22857142857142856</v>
          </cell>
          <cell r="I217" t="str">
            <v>/</v>
          </cell>
          <cell r="J217">
            <v>22</v>
          </cell>
        </row>
        <row r="218">
          <cell r="C218" t="str">
            <v>MH-250W</v>
          </cell>
          <cell r="F218">
            <v>22000</v>
          </cell>
          <cell r="H218">
            <v>0.16</v>
          </cell>
          <cell r="I218" t="str">
            <v>/</v>
          </cell>
          <cell r="J218">
            <v>15</v>
          </cell>
        </row>
        <row r="219">
          <cell r="C219" t="str">
            <v>MH-330W</v>
          </cell>
          <cell r="F219">
            <v>33000</v>
          </cell>
          <cell r="H219">
            <v>0.1525</v>
          </cell>
          <cell r="I219" t="str">
            <v>/</v>
          </cell>
          <cell r="J219">
            <v>50</v>
          </cell>
        </row>
        <row r="220">
          <cell r="C220" t="str">
            <v>MH-400W</v>
          </cell>
          <cell r="F220">
            <v>36000</v>
          </cell>
          <cell r="H220">
            <v>0.14499999999999999</v>
          </cell>
          <cell r="I220" t="str">
            <v>/</v>
          </cell>
          <cell r="J220">
            <v>40</v>
          </cell>
        </row>
        <row r="221">
          <cell r="C221" t="str">
            <v>MH-1000W</v>
          </cell>
          <cell r="F221">
            <v>110000</v>
          </cell>
          <cell r="H221">
            <v>0.08</v>
          </cell>
          <cell r="I221" t="str">
            <v>/</v>
          </cell>
          <cell r="J221">
            <v>50</v>
          </cell>
        </row>
        <row r="222">
          <cell r="C222" t="str">
            <v>MH-1500W</v>
          </cell>
          <cell r="F222">
            <v>165000</v>
          </cell>
          <cell r="H222">
            <v>7.0000000000000007E-2</v>
          </cell>
          <cell r="I222" t="str">
            <v>/</v>
          </cell>
          <cell r="J222">
            <v>70</v>
          </cell>
        </row>
        <row r="223">
          <cell r="C223" t="str">
            <v>HPS-35W</v>
          </cell>
          <cell r="F223">
            <v>2250</v>
          </cell>
          <cell r="H223">
            <v>0.2857142857142857</v>
          </cell>
          <cell r="I223" t="str">
            <v>/</v>
          </cell>
          <cell r="J223"/>
        </row>
        <row r="224">
          <cell r="C224" t="str">
            <v>HPS-50W</v>
          </cell>
          <cell r="F224">
            <v>4000</v>
          </cell>
          <cell r="H224">
            <v>0.32</v>
          </cell>
          <cell r="I224" t="str">
            <v>/</v>
          </cell>
          <cell r="J224"/>
        </row>
        <row r="225">
          <cell r="C225" t="str">
            <v>HPS-70W</v>
          </cell>
          <cell r="F225">
            <v>6300</v>
          </cell>
          <cell r="H225">
            <v>0.2857142857142857</v>
          </cell>
          <cell r="I225" t="str">
            <v>/</v>
          </cell>
          <cell r="J225"/>
        </row>
        <row r="226">
          <cell r="C226" t="str">
            <v>HPS-100W</v>
          </cell>
          <cell r="F226">
            <v>9500</v>
          </cell>
          <cell r="H226">
            <v>0.26</v>
          </cell>
          <cell r="I226" t="str">
            <v>/</v>
          </cell>
          <cell r="J226"/>
        </row>
        <row r="227">
          <cell r="C227" t="str">
            <v>HPS-150W</v>
          </cell>
          <cell r="F227">
            <v>16000</v>
          </cell>
          <cell r="H227">
            <v>0.25333333333333335</v>
          </cell>
          <cell r="I227" t="str">
            <v>/</v>
          </cell>
          <cell r="J227"/>
        </row>
        <row r="228">
          <cell r="C228" t="str">
            <v>HPS-200W</v>
          </cell>
          <cell r="F228">
            <v>22000</v>
          </cell>
          <cell r="H228">
            <v>0.15</v>
          </cell>
          <cell r="I228" t="str">
            <v>/</v>
          </cell>
          <cell r="J228"/>
        </row>
        <row r="229">
          <cell r="C229" t="str">
            <v>HPS-250W</v>
          </cell>
          <cell r="F229">
            <v>29000</v>
          </cell>
          <cell r="H229">
            <v>0.18</v>
          </cell>
          <cell r="I229" t="str">
            <v>/</v>
          </cell>
          <cell r="J229"/>
        </row>
        <row r="230">
          <cell r="C230" t="str">
            <v>HPS-400W</v>
          </cell>
          <cell r="F230">
            <v>51000</v>
          </cell>
          <cell r="H230">
            <v>0.15</v>
          </cell>
          <cell r="I230" t="str">
            <v>/</v>
          </cell>
          <cell r="J230"/>
        </row>
        <row r="231">
          <cell r="C231" t="str">
            <v>HPS-600W</v>
          </cell>
          <cell r="F231">
            <v>96000</v>
          </cell>
          <cell r="H231">
            <v>0.12833333333333333</v>
          </cell>
          <cell r="I231" t="str">
            <v>/</v>
          </cell>
          <cell r="J231"/>
        </row>
        <row r="232">
          <cell r="C232" t="str">
            <v>HPS-750W</v>
          </cell>
          <cell r="F232">
            <v>110000</v>
          </cell>
          <cell r="H232">
            <v>0.10666666666666667</v>
          </cell>
          <cell r="I232" t="str">
            <v>/</v>
          </cell>
          <cell r="J232"/>
        </row>
        <row r="233">
          <cell r="C233" t="str">
            <v>HPS-1000W</v>
          </cell>
          <cell r="F233">
            <v>130000</v>
          </cell>
          <cell r="H233">
            <v>0.1</v>
          </cell>
          <cell r="I233" t="str">
            <v>/</v>
          </cell>
          <cell r="J233"/>
        </row>
        <row r="234">
          <cell r="C234" t="str">
            <v>MV-50W</v>
          </cell>
          <cell r="F234">
            <v>1150</v>
          </cell>
          <cell r="H234">
            <v>0.32</v>
          </cell>
          <cell r="I234" t="str">
            <v>/</v>
          </cell>
          <cell r="J234"/>
        </row>
        <row r="235">
          <cell r="C235" t="str">
            <v>MV-100W</v>
          </cell>
          <cell r="F235">
            <v>4100</v>
          </cell>
          <cell r="H235">
            <v>0.26</v>
          </cell>
          <cell r="I235" t="str">
            <v>/</v>
          </cell>
          <cell r="J235"/>
        </row>
        <row r="236">
          <cell r="C236" t="str">
            <v>MV-175W</v>
          </cell>
          <cell r="F236">
            <v>7350</v>
          </cell>
          <cell r="H236">
            <v>0.25333333333333335</v>
          </cell>
          <cell r="I236" t="str">
            <v>/</v>
          </cell>
          <cell r="J236"/>
        </row>
        <row r="237">
          <cell r="C237" t="str">
            <v>MV-250W</v>
          </cell>
          <cell r="F237">
            <v>12500</v>
          </cell>
          <cell r="H237">
            <v>0.18</v>
          </cell>
          <cell r="I237" t="str">
            <v>/</v>
          </cell>
          <cell r="J237"/>
        </row>
        <row r="238">
          <cell r="C238" t="str">
            <v>MV-400W</v>
          </cell>
          <cell r="F238">
            <v>20000</v>
          </cell>
          <cell r="H238">
            <v>0.15</v>
          </cell>
          <cell r="I238" t="str">
            <v>/</v>
          </cell>
          <cell r="J238"/>
        </row>
        <row r="239">
          <cell r="C239" t="str">
            <v>MV-1000W</v>
          </cell>
          <cell r="F239">
            <v>58000</v>
          </cell>
          <cell r="H239">
            <v>0.1</v>
          </cell>
          <cell r="I239" t="str">
            <v>/</v>
          </cell>
          <cell r="J239"/>
        </row>
        <row r="240">
          <cell r="C240" t="str">
            <v>LED-9W</v>
          </cell>
          <cell r="F240">
            <v>1000</v>
          </cell>
          <cell r="H240">
            <v>0</v>
          </cell>
          <cell r="I240">
            <v>0</v>
          </cell>
          <cell r="J240"/>
        </row>
        <row r="241">
          <cell r="C241" t="str">
            <v>LED-5W</v>
          </cell>
          <cell r="F241">
            <v>600</v>
          </cell>
          <cell r="H241">
            <v>0</v>
          </cell>
          <cell r="I241">
            <v>0</v>
          </cell>
          <cell r="J241"/>
        </row>
        <row r="242">
          <cell r="C242" t="str">
            <v>LED-14W</v>
          </cell>
          <cell r="F242">
            <v>1600</v>
          </cell>
          <cell r="H242">
            <v>0</v>
          </cell>
          <cell r="I242">
            <v>0</v>
          </cell>
          <cell r="J242"/>
        </row>
        <row r="243">
          <cell r="C243" t="str">
            <v>LED-0W</v>
          </cell>
          <cell r="F243">
            <v>0</v>
          </cell>
          <cell r="H243">
            <v>0</v>
          </cell>
          <cell r="I243">
            <v>0</v>
          </cell>
          <cell r="J243"/>
        </row>
        <row r="244">
          <cell r="C244" t="str">
            <v>LED-0W</v>
          </cell>
          <cell r="F244">
            <v>0</v>
          </cell>
          <cell r="H244">
            <v>0</v>
          </cell>
          <cell r="I244">
            <v>0</v>
          </cell>
          <cell r="J244"/>
        </row>
        <row r="245">
          <cell r="C245" t="str">
            <v>LED-0W</v>
          </cell>
          <cell r="F245">
            <v>0</v>
          </cell>
          <cell r="H245">
            <v>0</v>
          </cell>
          <cell r="I245">
            <v>0</v>
          </cell>
          <cell r="J245"/>
        </row>
        <row r="246">
          <cell r="C246" t="str">
            <v>LED-0W</v>
          </cell>
          <cell r="F246">
            <v>0</v>
          </cell>
          <cell r="H246">
            <v>0</v>
          </cell>
          <cell r="I246">
            <v>0</v>
          </cell>
          <cell r="J246"/>
        </row>
        <row r="247">
          <cell r="C247" t="str">
            <v>LED-0W</v>
          </cell>
          <cell r="F247">
            <v>0</v>
          </cell>
          <cell r="H247">
            <v>0</v>
          </cell>
          <cell r="I247">
            <v>0</v>
          </cell>
          <cell r="J247"/>
        </row>
        <row r="248">
          <cell r="C248" t="str">
            <v>LED-0W</v>
          </cell>
          <cell r="F248">
            <v>0</v>
          </cell>
          <cell r="H248">
            <v>0</v>
          </cell>
          <cell r="I248">
            <v>0</v>
          </cell>
          <cell r="J248"/>
        </row>
        <row r="249">
          <cell r="C249" t="str">
            <v>LED-0W</v>
          </cell>
          <cell r="F249">
            <v>0</v>
          </cell>
          <cell r="H249">
            <v>0</v>
          </cell>
          <cell r="I249">
            <v>0</v>
          </cell>
          <cell r="J249"/>
        </row>
        <row r="250">
          <cell r="C250" t="str">
            <v>LED-0W</v>
          </cell>
          <cell r="F250">
            <v>0</v>
          </cell>
          <cell r="H250">
            <v>0</v>
          </cell>
          <cell r="I250">
            <v>0</v>
          </cell>
          <cell r="J250"/>
        </row>
        <row r="251">
          <cell r="C251" t="str">
            <v>LED-0W</v>
          </cell>
          <cell r="F251">
            <v>0</v>
          </cell>
          <cell r="H251">
            <v>0</v>
          </cell>
          <cell r="I251">
            <v>0</v>
          </cell>
          <cell r="J251"/>
        </row>
        <row r="258">
          <cell r="C258" t="str">
            <v>DISANO 841 Minicomfort LED R-37W</v>
          </cell>
          <cell r="F258">
            <v>37</v>
          </cell>
          <cell r="G258">
            <v>4093</v>
          </cell>
          <cell r="H258">
            <v>80000</v>
          </cell>
          <cell r="I258">
            <v>153</v>
          </cell>
          <cell r="J258">
            <v>68.850000000000009</v>
          </cell>
        </row>
        <row r="259">
          <cell r="C259" t="str">
            <v>DISANO 841 Minicomfort 2+2xLED R -37W</v>
          </cell>
          <cell r="F259">
            <v>37</v>
          </cell>
          <cell r="G259">
            <v>4093</v>
          </cell>
          <cell r="H259">
            <v>80000</v>
          </cell>
          <cell r="I259">
            <v>177</v>
          </cell>
          <cell r="J259">
            <v>79.650000000000006</v>
          </cell>
        </row>
        <row r="260">
          <cell r="C260" t="str">
            <v>DISANO 841 Minicomfort 2xLED CLD CELL-D-D-19W</v>
          </cell>
          <cell r="F260">
            <v>19</v>
          </cell>
          <cell r="G260">
            <v>2046</v>
          </cell>
          <cell r="H260">
            <v>80000</v>
          </cell>
          <cell r="I260">
            <v>144</v>
          </cell>
          <cell r="J260">
            <v>64.8</v>
          </cell>
        </row>
        <row r="261">
          <cell r="C261" t="str">
            <v>DISANO 841 Minicomfort 3xLED CLD CELL-D-D-28W</v>
          </cell>
          <cell r="F261">
            <v>28</v>
          </cell>
          <cell r="G261">
            <v>3069</v>
          </cell>
          <cell r="H261">
            <v>80000</v>
          </cell>
          <cell r="I261">
            <v>172</v>
          </cell>
          <cell r="J261">
            <v>77.400000000000006</v>
          </cell>
        </row>
        <row r="262">
          <cell r="C262" t="str">
            <v>DISANO 841 Minicomfort 4xLED CLD CELL-D-D-37W</v>
          </cell>
          <cell r="F262">
            <v>37</v>
          </cell>
          <cell r="G262">
            <v>4096</v>
          </cell>
          <cell r="H262">
            <v>80000</v>
          </cell>
          <cell r="I262">
            <v>191</v>
          </cell>
          <cell r="J262">
            <v>85.95</v>
          </cell>
        </row>
        <row r="263">
          <cell r="C263" t="str">
            <v>DISANO 842 Led Panel -33W</v>
          </cell>
          <cell r="F263">
            <v>33</v>
          </cell>
          <cell r="G263">
            <v>3600</v>
          </cell>
          <cell r="H263">
            <v>50000</v>
          </cell>
          <cell r="I263">
            <v>60</v>
          </cell>
          <cell r="J263">
            <v>27</v>
          </cell>
        </row>
        <row r="264">
          <cell r="C264" t="str">
            <v>DISANO 842 Led Panel R-33W</v>
          </cell>
          <cell r="F264">
            <v>33</v>
          </cell>
          <cell r="G264">
            <v>3600</v>
          </cell>
          <cell r="H264">
            <v>50000</v>
          </cell>
          <cell r="I264">
            <v>70</v>
          </cell>
          <cell r="J264">
            <v>31.5</v>
          </cell>
        </row>
        <row r="265">
          <cell r="C265" t="str">
            <v>FOSNOVA EcoLex 2 CLD CELL-14W</v>
          </cell>
          <cell r="F265">
            <v>14</v>
          </cell>
          <cell r="G265">
            <v>1380</v>
          </cell>
          <cell r="H265">
            <v>40000</v>
          </cell>
          <cell r="I265">
            <v>65</v>
          </cell>
          <cell r="J265">
            <v>29.25</v>
          </cell>
        </row>
        <row r="266">
          <cell r="C266" t="str">
            <v>FOSNOVA EcoLex 3 CLD CELL-21W</v>
          </cell>
          <cell r="F266">
            <v>21</v>
          </cell>
          <cell r="G266">
            <v>2190</v>
          </cell>
          <cell r="H266">
            <v>40000</v>
          </cell>
          <cell r="I266">
            <v>70</v>
          </cell>
          <cell r="J266">
            <v>31.5</v>
          </cell>
        </row>
        <row r="267">
          <cell r="C267" t="str">
            <v>FOSNOVA EcoLex 4 CLD CELL-32W</v>
          </cell>
          <cell r="F267">
            <v>32</v>
          </cell>
          <cell r="G267">
            <v>3318</v>
          </cell>
          <cell r="H267">
            <v>40000</v>
          </cell>
          <cell r="I267">
            <v>99</v>
          </cell>
          <cell r="J267">
            <v>44.550000000000004</v>
          </cell>
        </row>
        <row r="268">
          <cell r="C268" t="str">
            <v>DISANO 731 Minicomfort LED R -37W</v>
          </cell>
          <cell r="F268">
            <v>37</v>
          </cell>
          <cell r="G268">
            <v>4093</v>
          </cell>
          <cell r="H268">
            <v>80000</v>
          </cell>
          <cell r="I268">
            <v>212</v>
          </cell>
          <cell r="J268">
            <v>95.4</v>
          </cell>
        </row>
        <row r="269">
          <cell r="C269" t="str">
            <v>DISANO 731 Minicomfort 2xLED CLD CELL-D-D-19W</v>
          </cell>
          <cell r="F269">
            <v>19</v>
          </cell>
          <cell r="G269">
            <v>2046</v>
          </cell>
          <cell r="H269">
            <v>80000</v>
          </cell>
          <cell r="I269">
            <v>241</v>
          </cell>
          <cell r="J269">
            <v>108.45</v>
          </cell>
        </row>
        <row r="270">
          <cell r="C270" t="str">
            <v>DISANO 731 Minicomfort 3xLED CLD CELL-D-D-28W</v>
          </cell>
          <cell r="F270">
            <v>28</v>
          </cell>
          <cell r="G270">
            <v>3069</v>
          </cell>
          <cell r="H270">
            <v>80000</v>
          </cell>
          <cell r="I270">
            <v>225</v>
          </cell>
          <cell r="J270">
            <v>101.25</v>
          </cell>
        </row>
        <row r="271">
          <cell r="C271" t="str">
            <v>DISANO 731 Minicomfort 4xLED CLD CELL-D-D-37W</v>
          </cell>
          <cell r="F271">
            <v>37</v>
          </cell>
          <cell r="G271">
            <v>4093</v>
          </cell>
          <cell r="H271">
            <v>80000</v>
          </cell>
          <cell r="I271">
            <v>275</v>
          </cell>
          <cell r="J271">
            <v>123.75</v>
          </cell>
        </row>
        <row r="272">
          <cell r="C272" t="str">
            <v>DISANO 744 Led Panel -33W</v>
          </cell>
          <cell r="F272">
            <v>33</v>
          </cell>
          <cell r="G272">
            <v>3600</v>
          </cell>
          <cell r="H272">
            <v>50000</v>
          </cell>
          <cell r="I272">
            <v>134</v>
          </cell>
          <cell r="J272">
            <v>60.300000000000004</v>
          </cell>
        </row>
        <row r="273">
          <cell r="C273" t="str">
            <v>DISANO 744 Led Panel R-33W</v>
          </cell>
          <cell r="F273">
            <v>33</v>
          </cell>
          <cell r="G273">
            <v>3600</v>
          </cell>
          <cell r="H273">
            <v>50000</v>
          </cell>
          <cell r="I273">
            <v>145</v>
          </cell>
          <cell r="J273">
            <v>65.25</v>
          </cell>
        </row>
        <row r="274">
          <cell r="C274" t="str">
            <v>DISANO 6000 Rapid L=4700mm (komplet)-110W</v>
          </cell>
          <cell r="F274">
            <v>110</v>
          </cell>
          <cell r="G274">
            <v>12068</v>
          </cell>
          <cell r="H274">
            <v>50000</v>
          </cell>
          <cell r="I274">
            <v>398</v>
          </cell>
          <cell r="J274">
            <v>179.1</v>
          </cell>
        </row>
        <row r="275">
          <cell r="C275" t="str">
            <v>DISANO 6000 Rapid L=3260mm (komplet)-73W</v>
          </cell>
          <cell r="F275">
            <v>73</v>
          </cell>
          <cell r="G275">
            <v>8044</v>
          </cell>
          <cell r="H275">
            <v>50000</v>
          </cell>
          <cell r="I275">
            <v>266</v>
          </cell>
          <cell r="J275">
            <v>119.7</v>
          </cell>
        </row>
        <row r="276">
          <cell r="C276" t="str">
            <v>FOSNOVA Boxy Small -33W</v>
          </cell>
          <cell r="F276">
            <v>33</v>
          </cell>
          <cell r="G276">
            <v>2580</v>
          </cell>
          <cell r="H276">
            <v>35000</v>
          </cell>
          <cell r="I276">
            <v>167.06666666666666</v>
          </cell>
          <cell r="J276">
            <v>75.180000000000007</v>
          </cell>
        </row>
        <row r="277">
          <cell r="C277" t="str">
            <v>FOSNOVA Boxy Big  -35W</v>
          </cell>
          <cell r="F277">
            <v>35</v>
          </cell>
          <cell r="G277">
            <v>3200</v>
          </cell>
          <cell r="H277">
            <v>35000</v>
          </cell>
          <cell r="I277">
            <v>185.73333333333335</v>
          </cell>
          <cell r="J277">
            <v>83.580000000000013</v>
          </cell>
        </row>
        <row r="278">
          <cell r="C278" t="str">
            <v>DISANO 962 Hydro LED, Energy saving  -36W</v>
          </cell>
          <cell r="F278">
            <v>36</v>
          </cell>
          <cell r="G278">
            <v>5187</v>
          </cell>
          <cell r="H278">
            <v>50000</v>
          </cell>
          <cell r="I278">
            <v>90</v>
          </cell>
          <cell r="J278">
            <v>40.5</v>
          </cell>
        </row>
        <row r="279">
          <cell r="C279" t="str">
            <v>DISANO 962 Hydro LED, Energy saving  -50W</v>
          </cell>
          <cell r="F279">
            <v>50</v>
          </cell>
          <cell r="G279">
            <v>7048</v>
          </cell>
          <cell r="H279">
            <v>50000</v>
          </cell>
          <cell r="I279">
            <v>107</v>
          </cell>
          <cell r="J279">
            <v>48.15</v>
          </cell>
        </row>
        <row r="280">
          <cell r="C280" t="str">
            <v>DISANO 1887 Rodio LED + zaščitna mreža Asimetrični-157W</v>
          </cell>
          <cell r="F280">
            <v>157</v>
          </cell>
          <cell r="G280">
            <v>16843</v>
          </cell>
          <cell r="H280">
            <v>80000</v>
          </cell>
          <cell r="I280">
            <v>368</v>
          </cell>
          <cell r="J280">
            <v>165.6</v>
          </cell>
        </row>
        <row r="281">
          <cell r="C281" t="str">
            <v>DISANO 1891 Rodio LED + zaščitna mreža Simetrični-157W</v>
          </cell>
          <cell r="F281">
            <v>157</v>
          </cell>
          <cell r="G281">
            <v>16516</v>
          </cell>
          <cell r="H281">
            <v>80000</v>
          </cell>
          <cell r="I281">
            <v>368</v>
          </cell>
          <cell r="J281">
            <v>165.6</v>
          </cell>
        </row>
        <row r="282">
          <cell r="C282" t="str">
            <v>DISANO 602 Disanlens-15W</v>
          </cell>
          <cell r="F282">
            <v>15</v>
          </cell>
          <cell r="G282">
            <v>1720</v>
          </cell>
          <cell r="H282">
            <v>50000</v>
          </cell>
          <cell r="I282">
            <v>95</v>
          </cell>
          <cell r="J282">
            <v>42.75</v>
          </cell>
        </row>
        <row r="283">
          <cell r="C283" t="str">
            <v>DISANO 602 Disanlens-30W</v>
          </cell>
          <cell r="F283">
            <v>30</v>
          </cell>
          <cell r="G283">
            <v>3440</v>
          </cell>
          <cell r="H283">
            <v>50000</v>
          </cell>
          <cell r="I283">
            <v>131</v>
          </cell>
          <cell r="J283">
            <v>58.95</v>
          </cell>
        </row>
        <row r="284">
          <cell r="C284" t="str">
            <v>DISANO 601 Disanlens-15W</v>
          </cell>
          <cell r="F284">
            <v>15</v>
          </cell>
          <cell r="G284">
            <v>1947</v>
          </cell>
          <cell r="H284">
            <v>50000</v>
          </cell>
          <cell r="I284">
            <v>105</v>
          </cell>
          <cell r="J284">
            <v>47.25</v>
          </cell>
        </row>
        <row r="285">
          <cell r="C285" t="str">
            <v>DISANO 601 Disanlens-29W</v>
          </cell>
          <cell r="F285">
            <v>29</v>
          </cell>
          <cell r="G285">
            <v>3896</v>
          </cell>
          <cell r="H285">
            <v>50000</v>
          </cell>
          <cell r="I285">
            <v>145</v>
          </cell>
          <cell r="J285">
            <v>65.25</v>
          </cell>
        </row>
        <row r="286">
          <cell r="C286" t="str">
            <v>DISANO 601 Disanlens-43W</v>
          </cell>
          <cell r="F286">
            <v>43</v>
          </cell>
          <cell r="G286">
            <v>5517</v>
          </cell>
          <cell r="H286">
            <v>50000</v>
          </cell>
          <cell r="I286">
            <v>187</v>
          </cell>
          <cell r="J286">
            <v>84.15</v>
          </cell>
        </row>
        <row r="287">
          <cell r="C287" t="str">
            <v>DISANO 746 Oblo 2.0 -15W</v>
          </cell>
          <cell r="F287">
            <v>15</v>
          </cell>
          <cell r="G287">
            <v>1444</v>
          </cell>
          <cell r="H287">
            <v>33000</v>
          </cell>
          <cell r="I287">
            <v>30</v>
          </cell>
          <cell r="J287">
            <v>13.5</v>
          </cell>
        </row>
        <row r="288">
          <cell r="C288" t="str">
            <v>DISANO 747 Oblo 2.0 -18W</v>
          </cell>
          <cell r="F288">
            <v>18</v>
          </cell>
          <cell r="G288">
            <v>1930</v>
          </cell>
          <cell r="H288">
            <v>33000</v>
          </cell>
          <cell r="I288">
            <v>40</v>
          </cell>
          <cell r="J288">
            <v>18</v>
          </cell>
        </row>
        <row r="289">
          <cell r="C289" t="str">
            <v>DISANO 748 Oblo 2.0 -24W</v>
          </cell>
          <cell r="F289">
            <v>24</v>
          </cell>
          <cell r="G289">
            <v>2780</v>
          </cell>
          <cell r="H289">
            <v>33000</v>
          </cell>
          <cell r="I289">
            <v>48</v>
          </cell>
          <cell r="J289">
            <v>21.6</v>
          </cell>
        </row>
        <row r="290">
          <cell r="C290" t="str">
            <v>DISANO 1844 Globo 2.0-14W</v>
          </cell>
          <cell r="F290">
            <v>14</v>
          </cell>
          <cell r="G290">
            <v>1550</v>
          </cell>
          <cell r="H290">
            <v>50000</v>
          </cell>
          <cell r="I290">
            <v>40</v>
          </cell>
          <cell r="J290">
            <v>18</v>
          </cell>
        </row>
        <row r="291">
          <cell r="C291" t="str">
            <v>DISANO 2189 Forum HE Asimetrični-370W</v>
          </cell>
          <cell r="F291">
            <v>370</v>
          </cell>
          <cell r="G291">
            <v>50842</v>
          </cell>
          <cell r="H291">
            <v>90000</v>
          </cell>
          <cell r="I291">
            <v>1300</v>
          </cell>
          <cell r="J291">
            <v>845</v>
          </cell>
        </row>
        <row r="292">
          <cell r="C292" t="str">
            <v>DISANO 2188 Forum HE Simetrični-370W</v>
          </cell>
          <cell r="F292">
            <v>370</v>
          </cell>
          <cell r="G292">
            <v>51427</v>
          </cell>
          <cell r="H292">
            <v>90000</v>
          </cell>
          <cell r="I292">
            <v>1300</v>
          </cell>
          <cell r="J292">
            <v>845</v>
          </cell>
        </row>
        <row r="293">
          <cell r="C293" t="str">
            <v>DISANO 2185 Forum 1 Asimetrični-256W</v>
          </cell>
          <cell r="F293">
            <v>256</v>
          </cell>
          <cell r="G293">
            <v>29804</v>
          </cell>
          <cell r="H293">
            <v>120000</v>
          </cell>
          <cell r="I293">
            <v>1230</v>
          </cell>
          <cell r="J293">
            <v>799.5</v>
          </cell>
        </row>
        <row r="294">
          <cell r="C294" t="str">
            <v>DISANO 2185 Forum 1 Asimetrični-397W</v>
          </cell>
          <cell r="F294">
            <v>397</v>
          </cell>
          <cell r="G294">
            <v>39606</v>
          </cell>
          <cell r="H294">
            <v>100000</v>
          </cell>
          <cell r="I294">
            <v>1280</v>
          </cell>
          <cell r="J294">
            <v>832</v>
          </cell>
        </row>
        <row r="295">
          <cell r="C295" t="str">
            <v>DISANO 2185 Forum 1 Asimetrični-457W</v>
          </cell>
          <cell r="F295">
            <v>457</v>
          </cell>
          <cell r="G295">
            <v>43545</v>
          </cell>
          <cell r="H295">
            <v>90000</v>
          </cell>
          <cell r="I295">
            <v>1440</v>
          </cell>
          <cell r="J295">
            <v>936</v>
          </cell>
        </row>
        <row r="296">
          <cell r="C296" t="str">
            <v>DISANO 2181 Forum 1 Simetrični-256W</v>
          </cell>
          <cell r="F296">
            <v>256</v>
          </cell>
          <cell r="G296">
            <v>27715</v>
          </cell>
          <cell r="H296">
            <v>120000</v>
          </cell>
          <cell r="I296">
            <v>1070</v>
          </cell>
          <cell r="J296">
            <v>695.5</v>
          </cell>
        </row>
        <row r="297">
          <cell r="C297" t="str">
            <v>DISANO 2181 Forum 1 Simetrični-397W</v>
          </cell>
          <cell r="F297">
            <v>397</v>
          </cell>
          <cell r="G297">
            <v>37047</v>
          </cell>
          <cell r="H297">
            <v>100000</v>
          </cell>
          <cell r="I297">
            <v>1120</v>
          </cell>
          <cell r="J297">
            <v>728</v>
          </cell>
        </row>
        <row r="298">
          <cell r="C298" t="str">
            <v>DISANO 2181 Forum 1 Simetrični-457W</v>
          </cell>
          <cell r="F298">
            <v>457</v>
          </cell>
          <cell r="G298">
            <v>40943</v>
          </cell>
          <cell r="H298">
            <v>90000</v>
          </cell>
          <cell r="I298">
            <v>1300</v>
          </cell>
          <cell r="J298">
            <v>845</v>
          </cell>
        </row>
        <row r="299">
          <cell r="C299" t="str">
            <v>DISANO 2183 Forum 1 Simetrični-256W</v>
          </cell>
          <cell r="F299">
            <v>256</v>
          </cell>
          <cell r="G299">
            <v>32350</v>
          </cell>
          <cell r="H299">
            <v>120000</v>
          </cell>
          <cell r="I299">
            <v>1070</v>
          </cell>
          <cell r="J299">
            <v>695.5</v>
          </cell>
        </row>
        <row r="300">
          <cell r="C300" t="str">
            <v>DISANO 2183 Forum 1 Simetrični-397W</v>
          </cell>
          <cell r="F300">
            <v>397</v>
          </cell>
          <cell r="G300">
            <v>43242</v>
          </cell>
          <cell r="H300">
            <v>100000</v>
          </cell>
          <cell r="I300">
            <v>1120</v>
          </cell>
          <cell r="J300">
            <v>728</v>
          </cell>
        </row>
        <row r="301">
          <cell r="C301" t="str">
            <v>DISANO 2183 Forum 1 Simetrični-457W</v>
          </cell>
          <cell r="F301">
            <v>457</v>
          </cell>
          <cell r="G301">
            <v>47789</v>
          </cell>
          <cell r="H301">
            <v>90000</v>
          </cell>
          <cell r="I301">
            <v>1300</v>
          </cell>
          <cell r="J301">
            <v>845</v>
          </cell>
        </row>
        <row r="302">
          <cell r="C302" t="str">
            <v>LED E27 Retrofit (1x)-7W</v>
          </cell>
          <cell r="F302">
            <v>7</v>
          </cell>
          <cell r="G302">
            <v>800</v>
          </cell>
          <cell r="H302">
            <v>25000</v>
          </cell>
          <cell r="I302">
            <v>14</v>
          </cell>
          <cell r="J302">
            <v>5</v>
          </cell>
        </row>
        <row r="303">
          <cell r="C303" t="str">
            <v>LED E27 Retrofit (1x)-10W</v>
          </cell>
          <cell r="F303">
            <v>10</v>
          </cell>
          <cell r="G303">
            <v>1000</v>
          </cell>
          <cell r="H303">
            <v>25000</v>
          </cell>
          <cell r="I303">
            <v>14</v>
          </cell>
          <cell r="J303">
            <v>7</v>
          </cell>
        </row>
        <row r="304">
          <cell r="C304" t="str">
            <v>LED E27 Retrofit (2x)-20W</v>
          </cell>
          <cell r="F304">
            <v>20</v>
          </cell>
          <cell r="G304">
            <v>2000</v>
          </cell>
          <cell r="H304">
            <v>50000</v>
          </cell>
          <cell r="I304">
            <v>28</v>
          </cell>
          <cell r="J304">
            <v>14</v>
          </cell>
        </row>
        <row r="305">
          <cell r="C305" t="str">
            <v>DISANO 2885 Saturno HP-191W</v>
          </cell>
          <cell r="F305">
            <v>191</v>
          </cell>
          <cell r="G305">
            <v>24752</v>
          </cell>
          <cell r="H305">
            <v>60000</v>
          </cell>
          <cell r="I305">
            <v>435</v>
          </cell>
          <cell r="J305">
            <v>282.75</v>
          </cell>
        </row>
        <row r="306">
          <cell r="C306" t="str">
            <v>DISANO 2885 Saturno HP-230W</v>
          </cell>
          <cell r="F306">
            <v>230</v>
          </cell>
          <cell r="G306">
            <v>28605</v>
          </cell>
          <cell r="H306">
            <v>60000</v>
          </cell>
          <cell r="I306">
            <v>455</v>
          </cell>
          <cell r="J306">
            <v>295.75</v>
          </cell>
        </row>
        <row r="307">
          <cell r="C307" t="str">
            <v>DISANO 2885 Saturno fi400 HP-100W</v>
          </cell>
          <cell r="F307">
            <v>100</v>
          </cell>
          <cell r="G307">
            <v>16317</v>
          </cell>
          <cell r="H307">
            <v>80000</v>
          </cell>
          <cell r="I307">
            <v>355</v>
          </cell>
          <cell r="J307">
            <v>230.75</v>
          </cell>
        </row>
        <row r="308">
          <cell r="C308" t="str">
            <v>DISANO 2885 Saturno fi400 HP-139W</v>
          </cell>
          <cell r="F308">
            <v>139</v>
          </cell>
          <cell r="G308">
            <v>20765</v>
          </cell>
          <cell r="H308">
            <v>80000</v>
          </cell>
          <cell r="I308">
            <v>360</v>
          </cell>
          <cell r="J308">
            <v>234</v>
          </cell>
        </row>
        <row r="309">
          <cell r="C309" t="str">
            <v>DISANO 1789 Astro Difuzno-101W</v>
          </cell>
          <cell r="F309">
            <v>101</v>
          </cell>
          <cell r="G309">
            <v>11149</v>
          </cell>
          <cell r="H309">
            <v>100000</v>
          </cell>
          <cell r="I309">
            <v>491</v>
          </cell>
          <cell r="J309">
            <v>319.15000000000003</v>
          </cell>
        </row>
        <row r="310">
          <cell r="C310" t="str">
            <v>DISANO 1789 Astro Difuzno-135W</v>
          </cell>
          <cell r="F310">
            <v>135</v>
          </cell>
          <cell r="G310">
            <v>14865</v>
          </cell>
          <cell r="H310">
            <v>100000</v>
          </cell>
          <cell r="I310">
            <v>500</v>
          </cell>
          <cell r="J310">
            <v>325</v>
          </cell>
        </row>
        <row r="311">
          <cell r="C311" t="str">
            <v>DISANO 1789 Astro Difuzno-203W</v>
          </cell>
          <cell r="F311">
            <v>203</v>
          </cell>
          <cell r="G311">
            <v>22298</v>
          </cell>
          <cell r="H311">
            <v>100000</v>
          </cell>
          <cell r="I311">
            <v>654</v>
          </cell>
          <cell r="J311">
            <v>425.1</v>
          </cell>
        </row>
        <row r="312">
          <cell r="C312" t="str">
            <v>DISANO 1789 Astro Difuzno-235W</v>
          </cell>
          <cell r="F312">
            <v>235</v>
          </cell>
          <cell r="G312">
            <v>26013</v>
          </cell>
          <cell r="H312">
            <v>100000</v>
          </cell>
          <cell r="I312">
            <v>760</v>
          </cell>
          <cell r="J312">
            <v>494</v>
          </cell>
        </row>
        <row r="313">
          <cell r="C313" t="str">
            <v>/-W</v>
          </cell>
          <cell r="F313"/>
          <cell r="G313"/>
          <cell r="H313"/>
          <cell r="I313"/>
          <cell r="J313"/>
        </row>
        <row r="314">
          <cell r="C314" t="str">
            <v>-W</v>
          </cell>
          <cell r="F314"/>
          <cell r="G314"/>
          <cell r="H314"/>
          <cell r="I314"/>
          <cell r="J314"/>
        </row>
      </sheetData>
      <sheetData sheetId="4">
        <row r="119">
          <cell r="F119">
            <v>0.11559931078262896</v>
          </cell>
        </row>
      </sheetData>
      <sheetData sheetId="5"/>
      <sheetData sheetId="6"/>
      <sheetData sheetId="7"/>
      <sheetData sheetId="8"/>
      <sheetData sheetId="9"/>
      <sheetData sheetId="10"/>
      <sheetData sheetId="11"/>
      <sheetData sheetId="12"/>
      <sheetData sheetId="13"/>
      <sheetData sheetId="14"/>
      <sheetData sheetId="15">
        <row r="5">
          <cell r="O5" t="str">
            <v>DISANO 746 Oblo 2.0 -15W</v>
          </cell>
          <cell r="P5">
            <v>1</v>
          </cell>
          <cell r="Q5" t="str">
            <v>Novi dom_Stropna_Halo - 1x42W_WC/Tuš</v>
          </cell>
        </row>
        <row r="6">
          <cell r="O6" t="str">
            <v>DISANO 746 Oblo 2.0 -15W</v>
          </cell>
          <cell r="P6">
            <v>1</v>
          </cell>
          <cell r="Q6" t="str">
            <v>Novi dom_Stropna_Nitka - 1x60W_Hodnik</v>
          </cell>
        </row>
        <row r="7">
          <cell r="O7" t="str">
            <v>DISANO 746 Oblo 2.0 -15W</v>
          </cell>
          <cell r="P7">
            <v>1</v>
          </cell>
          <cell r="Q7" t="str">
            <v>Novi dom_Stropna_Nitka - 1x60W_Stopnišče</v>
          </cell>
        </row>
        <row r="8">
          <cell r="O8" t="str">
            <v>DISANO 602 Disanlens-15W</v>
          </cell>
          <cell r="P8">
            <v>1</v>
          </cell>
          <cell r="Q8" t="str">
            <v>Novi dom_Stropna_T8 Fluo - 1x36W_Soba</v>
          </cell>
        </row>
        <row r="9">
          <cell r="O9" t="str">
            <v>DISANO 731 Minicomfort 3xLED CLD CELL-D-D-28W</v>
          </cell>
          <cell r="P9">
            <v>1</v>
          </cell>
          <cell r="Q9" t="str">
            <v>Novi dom_Stropna_T8 Fluo - 2x36W_Soba</v>
          </cell>
        </row>
        <row r="10">
          <cell r="O10" t="str">
            <v>DISANO 746 Oblo 2.0 -15W</v>
          </cell>
          <cell r="P10">
            <v>1</v>
          </cell>
          <cell r="Q10" t="str">
            <v>Novi dom_Stropna_Halo - 2x42W_Hodnik</v>
          </cell>
        </row>
        <row r="11">
          <cell r="O11" t="str">
            <v>DISANO 746 Oblo 2.0 -15W</v>
          </cell>
          <cell r="P11">
            <v>1</v>
          </cell>
          <cell r="Q11" t="str">
            <v>Novi dom_Stropna_Halo - 2x42W_WC/Tuš</v>
          </cell>
        </row>
        <row r="12">
          <cell r="O12" t="str">
            <v>DISANO 746 Oblo 2.0 -15W</v>
          </cell>
          <cell r="P12">
            <v>1</v>
          </cell>
          <cell r="Q12" t="str">
            <v>Novi dom_Stropna_halo - 3x42W_Soba</v>
          </cell>
        </row>
        <row r="13">
          <cell r="O13" t="str">
            <v>DISANO 746 Oblo 2.0 -15W</v>
          </cell>
          <cell r="P13">
            <v>1</v>
          </cell>
          <cell r="Q13" t="str">
            <v>Objekt A_Stropna_Halo - 1x42W_Skladišče/tehnični prostor</v>
          </cell>
        </row>
        <row r="14">
          <cell r="O14" t="str">
            <v>DISANO 746 Oblo 2.0 -15W</v>
          </cell>
          <cell r="P14">
            <v>1</v>
          </cell>
          <cell r="Q14" t="str">
            <v>Objekt A_Stropna_Nitka - 1x60W_Skladišče/tehnični prostor</v>
          </cell>
        </row>
        <row r="15">
          <cell r="O15" t="str">
            <v>DISANO 746 Oblo 2.0 -15W</v>
          </cell>
          <cell r="P15">
            <v>1</v>
          </cell>
          <cell r="Q15" t="str">
            <v>Objekt A_Stropna_Nitka - 1x60W_Stopnišče</v>
          </cell>
        </row>
        <row r="16">
          <cell r="O16" t="str">
            <v>DISANO 6000 Rapid L=3260mm (komplet)-73W</v>
          </cell>
          <cell r="P16">
            <v>0.5</v>
          </cell>
          <cell r="Q16" t="str">
            <v>Objekt A_Stropna_T8 Fluo - 1x58W_Tabla - učilnica</v>
          </cell>
        </row>
        <row r="17">
          <cell r="O17" t="str">
            <v>DISANO 731 Minicomfort LED R -37W</v>
          </cell>
          <cell r="P17">
            <v>1</v>
          </cell>
          <cell r="Q17" t="str">
            <v>Objekt A_Stropna_T8 Fluo - 2x36W_Generalna - učilnica</v>
          </cell>
        </row>
        <row r="18">
          <cell r="O18" t="str">
            <v>DISANO 731 Minicomfort LED R -37W</v>
          </cell>
          <cell r="P18">
            <v>1</v>
          </cell>
          <cell r="Q18" t="str">
            <v>Objekt A_Stropna_T8 Fluo - 2x36W_Kabinet</v>
          </cell>
        </row>
        <row r="19">
          <cell r="O19" t="str">
            <v>DISANO 731 Minicomfort LED R -37W</v>
          </cell>
          <cell r="P19">
            <v>1</v>
          </cell>
          <cell r="Q19" t="str">
            <v>Objekt A_Stropna_T8 Fluo - 2x36W_Skladišče/tehnični prostor</v>
          </cell>
        </row>
        <row r="20">
          <cell r="O20" t="str">
            <v>DISANO 731 Minicomfort LED R -37W</v>
          </cell>
          <cell r="P20">
            <v>1</v>
          </cell>
          <cell r="Q20" t="str">
            <v>Objekt A_Stropna_T8 Fluo - 2x36W_Jedilnica</v>
          </cell>
        </row>
        <row r="21">
          <cell r="O21" t="str">
            <v>DISANO 731 Minicomfort LED R -37W</v>
          </cell>
          <cell r="P21">
            <v>1</v>
          </cell>
          <cell r="Q21" t="str">
            <v>Objekt A_Stropna_T8 Fluo - 2x36W_Kuhinja</v>
          </cell>
        </row>
        <row r="22">
          <cell r="O22" t="str">
            <v>DISANO 731 Minicomfort LED R -37W</v>
          </cell>
          <cell r="P22">
            <v>1.5</v>
          </cell>
          <cell r="Q22" t="str">
            <v>Objekt A_Stropna_T8 Fluo - 2x58W_Generalna - učilnica</v>
          </cell>
        </row>
        <row r="23">
          <cell r="O23" t="str">
            <v>DISANO 731 Minicomfort LED R -37W</v>
          </cell>
          <cell r="P23">
            <v>1.5</v>
          </cell>
          <cell r="Q23" t="str">
            <v>Objekt A_Stropna_T8 Fluo - 2x58W_Hodnik</v>
          </cell>
        </row>
        <row r="24">
          <cell r="O24" t="str">
            <v>DISANO 731 Minicomfort LED R -37W</v>
          </cell>
          <cell r="P24">
            <v>1.5</v>
          </cell>
          <cell r="Q24" t="str">
            <v>Objekt A_Stropna_T8 Fluo - 2x58W_Kabinet</v>
          </cell>
        </row>
        <row r="25">
          <cell r="O25" t="str">
            <v>DISANO 731 Minicomfort LED R -37W</v>
          </cell>
          <cell r="P25">
            <v>1.5</v>
          </cell>
          <cell r="Q25" t="str">
            <v>Objekt A_Stropna_T8 Fluo - 2x58W_Pisarna</v>
          </cell>
        </row>
        <row r="26">
          <cell r="O26" t="str">
            <v>DISANO 731 Minicomfort LED R -37W</v>
          </cell>
          <cell r="P26">
            <v>1.5</v>
          </cell>
          <cell r="Q26" t="str">
            <v>Objekt A_Stropna_T8 Fluo - 2x58W_Jedilnica</v>
          </cell>
        </row>
        <row r="27">
          <cell r="O27" t="str">
            <v>DISANO 962 Hydro LED, Energy saving  -50W</v>
          </cell>
          <cell r="P27">
            <v>1</v>
          </cell>
          <cell r="Q27" t="str">
            <v>Objekt A_Stropna_T8 Fluo - 2x58W_Kuhinja</v>
          </cell>
        </row>
        <row r="28">
          <cell r="O28" t="str">
            <v>DISANO 962 Hydro LED, Energy saving  -50W</v>
          </cell>
          <cell r="P28">
            <v>1</v>
          </cell>
          <cell r="Q28" t="str">
            <v>Objekt A_Stropna_T8 Fluo - 3x36W_Stopnišče</v>
          </cell>
        </row>
        <row r="29">
          <cell r="O29" t="str">
            <v>DISANO 731 Minicomfort 4xLED CLD CELL-D-D-37W</v>
          </cell>
          <cell r="P29">
            <v>1</v>
          </cell>
          <cell r="Q29" t="str">
            <v>Objekt A_Stropna_T8 Fluo - 4x18W_Skladišče/tehnični prostor</v>
          </cell>
        </row>
        <row r="30">
          <cell r="O30" t="str">
            <v>-W</v>
          </cell>
          <cell r="P30"/>
          <cell r="Q30" t="str">
            <v>Objekt A_Stropna_T5 Fluo - 2x28W_Generalna - učilnica</v>
          </cell>
        </row>
        <row r="31">
          <cell r="O31" t="str">
            <v>-W</v>
          </cell>
          <cell r="P31"/>
          <cell r="Q31" t="str">
            <v>Objekt A_Stropna_T5 Fluo - 2x28W_Hodnik</v>
          </cell>
        </row>
        <row r="32">
          <cell r="O32" t="str">
            <v>-W</v>
          </cell>
          <cell r="P32"/>
          <cell r="Q32" t="str">
            <v>Objekt A_Stropna_T5 Fluo - 2x28W_Kabinet</v>
          </cell>
        </row>
        <row r="33">
          <cell r="O33" t="str">
            <v>-W</v>
          </cell>
          <cell r="P33"/>
          <cell r="Q33" t="str">
            <v>Objekt A_Stropna_T5 Fluo - 2x28W_Skladišče/tehnični prostor</v>
          </cell>
        </row>
        <row r="34">
          <cell r="O34" t="str">
            <v>DISANO 746 Oblo 2.0 -15W</v>
          </cell>
          <cell r="P34">
            <v>1</v>
          </cell>
          <cell r="Q34" t="str">
            <v>Objekt A_Stropna_Halo - 2x42W_Hodnik</v>
          </cell>
        </row>
        <row r="35">
          <cell r="O35" t="str">
            <v>DISANO 746 Oblo 2.0 -15W</v>
          </cell>
          <cell r="P35">
            <v>1</v>
          </cell>
          <cell r="Q35" t="str">
            <v>Objekt A_Stropna_CFL - 2x13W_Hodnik</v>
          </cell>
        </row>
        <row r="36">
          <cell r="O36" t="str">
            <v>DISANO 746 Oblo 2.0 -15W</v>
          </cell>
          <cell r="P36">
            <v>1</v>
          </cell>
          <cell r="Q36" t="str">
            <v>Objekt A_Stropna_PI4_SQUARE_CFL - 1x28W_Hodnik</v>
          </cell>
        </row>
        <row r="37">
          <cell r="O37" t="str">
            <v>DISANO 746 Oblo 2.0 -15W</v>
          </cell>
          <cell r="P37">
            <v>1</v>
          </cell>
          <cell r="Q37" t="str">
            <v>Objekt A_Stropna_PI4_SQUARE_CFL - 1x28W_Stopnišče</v>
          </cell>
        </row>
        <row r="38">
          <cell r="O38" t="str">
            <v>DISANO 731 Minicomfort LED R -37W</v>
          </cell>
          <cell r="P38">
            <v>2</v>
          </cell>
          <cell r="Q38" t="str">
            <v>Objekt A_Stropna_T8 Fluo - 3x58W_Pisarna</v>
          </cell>
        </row>
        <row r="39">
          <cell r="O39" t="str">
            <v>DISANO 746 Oblo 2.0 -15W</v>
          </cell>
          <cell r="P39">
            <v>1</v>
          </cell>
          <cell r="Q39" t="str">
            <v>Objekt A_Stropna_PI4_SQUARE_CFL - 1x21W_WC/Tuš</v>
          </cell>
        </row>
        <row r="40">
          <cell r="O40" t="str">
            <v>FOSNOVA EcoLex 3 CLD CELL-21W</v>
          </cell>
          <cell r="P40">
            <v>1</v>
          </cell>
          <cell r="Q40" t="str">
            <v>Objekt A_Vgradna_CFL - 2x18W_Hodnik</v>
          </cell>
        </row>
        <row r="41">
          <cell r="O41" t="str">
            <v>FOSNOVA EcoLex 3 CLD CELL-21W</v>
          </cell>
          <cell r="P41">
            <v>1</v>
          </cell>
          <cell r="Q41" t="str">
            <v>Objekt A_Vgradna_CFL - 2x18W_Stopnišče</v>
          </cell>
        </row>
        <row r="42">
          <cell r="O42" t="str">
            <v>FOSNOVA EcoLex 3 CLD CELL-21W</v>
          </cell>
          <cell r="P42">
            <v>1</v>
          </cell>
          <cell r="Q42" t="str">
            <v>Objekt A_Vgradna_PI4_CFL - 2x18W_Garderoba</v>
          </cell>
        </row>
        <row r="43">
          <cell r="O43" t="str">
            <v>FOSNOVA EcoLex 3 CLD CELL-21W</v>
          </cell>
          <cell r="P43">
            <v>1</v>
          </cell>
          <cell r="Q43" t="str">
            <v>Objekt A_Vgradna_PI4_CFL - 2x18W_Pisarna</v>
          </cell>
        </row>
        <row r="44">
          <cell r="O44" t="str">
            <v>DISANO 841 Minicomfort 4xLED CLD CELL-D-D-37W</v>
          </cell>
          <cell r="P44">
            <v>1</v>
          </cell>
          <cell r="Q44" t="str">
            <v>Objekt A_Vgradna_T8 Fluo - 4x18W_Generalna - učilnica</v>
          </cell>
        </row>
        <row r="45">
          <cell r="O45" t="str">
            <v>DISANO 841 Minicomfort 4xLED CLD CELL-D-D-37W</v>
          </cell>
          <cell r="P45">
            <v>1</v>
          </cell>
          <cell r="Q45" t="str">
            <v>Objekt A_Vgradna_T8 Fluo - 4x18W_Pisarna</v>
          </cell>
        </row>
        <row r="46">
          <cell r="O46" t="str">
            <v>DISANO 841 Minicomfort 2+2xLED R -37W</v>
          </cell>
          <cell r="P46">
            <v>2</v>
          </cell>
          <cell r="Q46" t="str">
            <v>Objekt A_Vgradna_T8 Fluo - 4x36W_Generalna - učilnica</v>
          </cell>
        </row>
        <row r="47">
          <cell r="O47" t="str">
            <v>DISANO 841 Minicomfort 2+2xLED R -37W</v>
          </cell>
          <cell r="P47">
            <v>2</v>
          </cell>
          <cell r="Q47" t="str">
            <v>Objekt A_Vgradna_T8 Fluo - 4x36W_Kabinet</v>
          </cell>
        </row>
        <row r="48">
          <cell r="O48" t="str">
            <v>DISANO 841 Minicomfort 2+2xLED R -37W</v>
          </cell>
          <cell r="P48">
            <v>2</v>
          </cell>
          <cell r="Q48" t="str">
            <v>Objekt A_Vgradna_T8 Fluo - 4x36W_Pisarna</v>
          </cell>
        </row>
        <row r="49">
          <cell r="O49" t="str">
            <v>FOSNOVA EcoLex 2 CLD CELL-14W</v>
          </cell>
          <cell r="P49">
            <v>1</v>
          </cell>
          <cell r="Q49" t="str">
            <v>Objekt A_Vgradna_PI4_CFL - 1x18W_WC/Tuš</v>
          </cell>
        </row>
        <row r="50">
          <cell r="O50" t="str">
            <v>-W</v>
          </cell>
          <cell r="P50"/>
          <cell r="Q50" t="str">
            <v>Objekt A_Vgradna_T5 Fluo - 4x14W_Generalna - učilnica</v>
          </cell>
        </row>
        <row r="51">
          <cell r="O51" t="str">
            <v>-W</v>
          </cell>
          <cell r="P51"/>
          <cell r="Q51" t="str">
            <v>Objekt A_Vgradna_T5 Fluo - 4x14W_Kabinet</v>
          </cell>
        </row>
        <row r="52">
          <cell r="O52" t="str">
            <v>-W</v>
          </cell>
          <cell r="P52"/>
          <cell r="Q52" t="str">
            <v>Objekt A_Vgradna_LED - 1x14W_Hodnik</v>
          </cell>
        </row>
        <row r="53">
          <cell r="O53" t="str">
            <v>DISANO 6000 Rapid L=3260mm (komplet)-73W</v>
          </cell>
          <cell r="P53">
            <v>0.5</v>
          </cell>
          <cell r="Q53" t="str">
            <v>Objekt A_Viseča_T8 Fluo - 1x36W_Tabla - učilnica</v>
          </cell>
        </row>
        <row r="54">
          <cell r="O54" t="str">
            <v>DISANO 731 Minicomfort LED R -37W</v>
          </cell>
          <cell r="P54">
            <v>1</v>
          </cell>
          <cell r="Q54" t="str">
            <v>Objekt B_Stropna_T8 Fluo - 2x36W_Generalna - učilnica</v>
          </cell>
        </row>
        <row r="55">
          <cell r="O55" t="str">
            <v>-W</v>
          </cell>
          <cell r="P55"/>
          <cell r="Q55" t="str">
            <v>Objekt B_Stropna_T5 Fluo - 2x35W_Generalna - učilnica</v>
          </cell>
        </row>
        <row r="56">
          <cell r="O56" t="str">
            <v>-W</v>
          </cell>
          <cell r="P56"/>
          <cell r="Q56" t="str">
            <v>Objekt B_Stropna_T5 Fluo - 2x35W_Hodnik</v>
          </cell>
        </row>
        <row r="57">
          <cell r="O57" t="str">
            <v>-W</v>
          </cell>
          <cell r="P57">
            <v>1</v>
          </cell>
          <cell r="Q57" t="str">
            <v>Objekt B_Stropna_PI4_CFL - 2x42W_Hodnik</v>
          </cell>
        </row>
        <row r="58">
          <cell r="O58" t="str">
            <v>FOSNOVA EcoLex 3 CLD CELL-21W</v>
          </cell>
          <cell r="P58">
            <v>1</v>
          </cell>
          <cell r="Q58" t="str">
            <v>Objekt B_Vgradna_PI4_CFL - 2x18W_Hodnik</v>
          </cell>
        </row>
        <row r="59">
          <cell r="O59" t="str">
            <v>DISANO 841 Minicomfort 4xLED CLD CELL-D-D-37W</v>
          </cell>
          <cell r="P59">
            <v>1</v>
          </cell>
          <cell r="Q59" t="str">
            <v>Objekt B_Vgradna_T8 Fluo - 4x18W_Generalna - učilnica</v>
          </cell>
        </row>
        <row r="60">
          <cell r="O60" t="str">
            <v>DISANO 841 Minicomfort 4xLED CLD CELL-D-D-37W</v>
          </cell>
          <cell r="P60">
            <v>1</v>
          </cell>
          <cell r="Q60" t="str">
            <v>Objekt B_Vgradna_T8 Fluo - 4x18W_Hodnik</v>
          </cell>
        </row>
        <row r="61">
          <cell r="O61" t="str">
            <v>DISANO 841 Minicomfort 4xLED CLD CELL-D-D-37W</v>
          </cell>
          <cell r="P61">
            <v>2</v>
          </cell>
          <cell r="Q61" t="str">
            <v>Objekt B_Vgradna_T8 Fluo - 4x36W_Generalna - učilnica</v>
          </cell>
        </row>
        <row r="62">
          <cell r="O62" t="str">
            <v>-W</v>
          </cell>
          <cell r="P62"/>
          <cell r="Q62" t="str">
            <v>Objekt B_Vgradna_T5 Fluo - 4x14W_Generalna - učilnica</v>
          </cell>
        </row>
        <row r="63">
          <cell r="O63" t="str">
            <v>-W</v>
          </cell>
          <cell r="P63"/>
          <cell r="Q63" t="str">
            <v>Objekt B_Vgradna_T5 Fluo - 4x14W_Hodnik</v>
          </cell>
        </row>
        <row r="64">
          <cell r="O64" t="str">
            <v>-W</v>
          </cell>
          <cell r="P64"/>
          <cell r="Q64" t="str">
            <v>Objekt B_Vgradna_T5 Fluo - 2x35W_Generalna - učilnica</v>
          </cell>
        </row>
        <row r="65">
          <cell r="O65" t="str">
            <v>DISANO 731 Minicomfort LED R -37W</v>
          </cell>
          <cell r="P65">
            <v>1</v>
          </cell>
          <cell r="Q65" t="str">
            <v>Objekt B_Viseča_T8 Fluo - 4x18W_Generalna - učilnica</v>
          </cell>
        </row>
        <row r="66">
          <cell r="O66" t="str">
            <v>-W</v>
          </cell>
          <cell r="P66"/>
          <cell r="Q66" t="str">
            <v>Objekt B_Viseča_T5 Fluo - 2x35W_Generalna - učilnica</v>
          </cell>
        </row>
        <row r="67">
          <cell r="O67" t="str">
            <v>DISANO 746 Oblo 2.0 -15W</v>
          </cell>
          <cell r="P67">
            <v>1</v>
          </cell>
          <cell r="Q67" t="str">
            <v>Stari dom_Reflektor_Halo - 2x42W_Jedilnica</v>
          </cell>
        </row>
        <row r="68">
          <cell r="O68" t="str">
            <v>LED E27 Retrofit (1x)-7W</v>
          </cell>
          <cell r="P68">
            <v>1</v>
          </cell>
          <cell r="Q68" t="str">
            <v>Stari dom_Reflektor_CFL - 1x5W_Pisarna</v>
          </cell>
        </row>
        <row r="69">
          <cell r="O69" t="str">
            <v>DISANO 746 Oblo 2.0 -15W</v>
          </cell>
          <cell r="P69">
            <v>1</v>
          </cell>
          <cell r="Q69" t="str">
            <v>Stari dom_Stropna_Halo - 1x42W_Hodnik</v>
          </cell>
        </row>
        <row r="70">
          <cell r="O70" t="str">
            <v>DISANO 746 Oblo 2.0 -15W</v>
          </cell>
          <cell r="P70">
            <v>1</v>
          </cell>
          <cell r="Q70" t="str">
            <v>Stari dom_Stropna_Halo - 1x42W_Skladišče/tehnični prostor</v>
          </cell>
        </row>
        <row r="71">
          <cell r="O71" t="str">
            <v>DISANO 746 Oblo 2.0 -15W</v>
          </cell>
          <cell r="P71">
            <v>1</v>
          </cell>
          <cell r="Q71" t="str">
            <v>Stari dom_Stropna_Halo - 1x42W_WC/Tuš</v>
          </cell>
        </row>
        <row r="72">
          <cell r="O72" t="str">
            <v>DISANO 746 Oblo 2.0 -15W</v>
          </cell>
          <cell r="P72">
            <v>1</v>
          </cell>
          <cell r="Q72" t="str">
            <v>Stari dom_Stropna_Halo - 1x42W_Soba</v>
          </cell>
        </row>
        <row r="73">
          <cell r="O73" t="str">
            <v>-W</v>
          </cell>
          <cell r="P73"/>
          <cell r="Q73" t="str">
            <v>Stari dom_Stropna_LED - 1x9W_Hodnik</v>
          </cell>
        </row>
        <row r="74">
          <cell r="O74" t="str">
            <v>DISANO 746 Oblo 2.0 -15W</v>
          </cell>
          <cell r="P74">
            <v>1</v>
          </cell>
          <cell r="Q74" t="str">
            <v>Stari dom_Stropna_Nitka - 1x60W_WC/Tuš</v>
          </cell>
        </row>
        <row r="75">
          <cell r="O75" t="str">
            <v>DISANO 746 Oblo 2.0 -15W</v>
          </cell>
          <cell r="P75">
            <v>1</v>
          </cell>
          <cell r="Q75" t="str">
            <v>Stari dom_Stropna_Nitka - 2x60W_Hodnik</v>
          </cell>
        </row>
        <row r="76">
          <cell r="O76" t="str">
            <v>DISANO 746 Oblo 2.0 -15W</v>
          </cell>
          <cell r="P76">
            <v>1</v>
          </cell>
          <cell r="Q76" t="str">
            <v>Stari dom_Stropna_Nitka - 2x60W_WC/Tuš</v>
          </cell>
        </row>
        <row r="77">
          <cell r="O77" t="str">
            <v>DISANO 746 Oblo 2.0 -15W</v>
          </cell>
          <cell r="P77">
            <v>1</v>
          </cell>
          <cell r="Q77" t="str">
            <v>Stari dom_Stropna_Nitka - 2x60W_Soba</v>
          </cell>
        </row>
        <row r="78">
          <cell r="O78" t="str">
            <v>DISANO 962 Hydro LED, Energy saving  -36W</v>
          </cell>
          <cell r="P78">
            <v>1</v>
          </cell>
          <cell r="Q78" t="str">
            <v>Stari dom_Stropna_T8 Fluo - 1x58W_Skladišče/tehnični prostor</v>
          </cell>
        </row>
        <row r="79">
          <cell r="O79" t="str">
            <v>DISANO 962 Hydro LED, Energy saving  -36W</v>
          </cell>
          <cell r="P79">
            <v>1</v>
          </cell>
          <cell r="Q79" t="str">
            <v>Stari dom_Stropna_T8 Fluo - 1x58W_Delovni prostor</v>
          </cell>
        </row>
        <row r="80">
          <cell r="O80" t="str">
            <v>DISANO 962 Hydro LED, Energy saving  -36W</v>
          </cell>
          <cell r="P80">
            <v>1</v>
          </cell>
          <cell r="Q80" t="str">
            <v>Stari dom_Stropna_T8 Fluo - 2x36W_Generalna - učilnica</v>
          </cell>
        </row>
        <row r="81">
          <cell r="O81" t="str">
            <v>DISANO 731 Minicomfort LED R -37W</v>
          </cell>
          <cell r="P81">
            <v>1</v>
          </cell>
          <cell r="Q81" t="str">
            <v>Stari dom_Stropna_T8 Fluo - 2x36W_Pisarna</v>
          </cell>
        </row>
        <row r="82">
          <cell r="O82" t="str">
            <v>DISANO 962 Hydro LED, Energy saving  -36W</v>
          </cell>
          <cell r="P82">
            <v>1</v>
          </cell>
          <cell r="Q82" t="str">
            <v>Stari dom_Stropna_T8 Fluo - 2x36W_Skladišče/tehnični prostor</v>
          </cell>
        </row>
        <row r="83">
          <cell r="O83" t="str">
            <v>DISANO 962 Hydro LED, Energy saving  -36W</v>
          </cell>
          <cell r="P83">
            <v>1</v>
          </cell>
          <cell r="Q83" t="str">
            <v>Stari dom_Stropna_T8 Fluo - 2x36W_Delovni prostor</v>
          </cell>
        </row>
        <row r="84">
          <cell r="O84" t="str">
            <v>DISANO 731 Minicomfort LED R -37W</v>
          </cell>
          <cell r="P84">
            <v>1</v>
          </cell>
          <cell r="Q84" t="str">
            <v>Stari dom_Stropna_T8 Fluo - 2x36W_Soba</v>
          </cell>
        </row>
        <row r="85">
          <cell r="O85" t="str">
            <v>DISANO 731 Minicomfort LED R -37W</v>
          </cell>
          <cell r="P85">
            <v>1</v>
          </cell>
          <cell r="Q85" t="str">
            <v>Stari dom_Stropna_T8 Fluo - 2x58W_Hodnik</v>
          </cell>
        </row>
        <row r="86">
          <cell r="O86" t="str">
            <v>DISANO 731 Minicomfort LED R -37W</v>
          </cell>
          <cell r="P86">
            <v>1</v>
          </cell>
          <cell r="Q86" t="str">
            <v>Stari dom_Stropna_T8 Fluo - 2x58W_Delovni prostor</v>
          </cell>
        </row>
        <row r="87">
          <cell r="O87" t="str">
            <v>DISANO 746 Oblo 2.0 -15W</v>
          </cell>
          <cell r="P87">
            <v>1</v>
          </cell>
          <cell r="Q87" t="str">
            <v>Stari dom_Stropna_Halo - 2x42W_Hodnik</v>
          </cell>
        </row>
        <row r="88">
          <cell r="O88" t="str">
            <v>DISANO 746 Oblo 2.0 -15W</v>
          </cell>
          <cell r="P88">
            <v>1</v>
          </cell>
          <cell r="Q88" t="str">
            <v>Stari dom_Stropna_Halo - 2x42W_Skladišče/tehnični prostor</v>
          </cell>
        </row>
        <row r="89">
          <cell r="O89" t="str">
            <v>DISANO 746 Oblo 2.0 -15W</v>
          </cell>
          <cell r="P89">
            <v>1</v>
          </cell>
          <cell r="Q89" t="str">
            <v>Stari dom_Stropna_Halo - 2x42W_Stopnišče</v>
          </cell>
        </row>
        <row r="90">
          <cell r="O90" t="str">
            <v>DISANO 746 Oblo 2.0 -15W</v>
          </cell>
          <cell r="P90">
            <v>1</v>
          </cell>
          <cell r="Q90" t="str">
            <v>Stari dom_Stropna_Halo - 2x42W_WC/Tuš</v>
          </cell>
        </row>
        <row r="91">
          <cell r="O91" t="str">
            <v>DISANO 746 Oblo 2.0 -15W</v>
          </cell>
          <cell r="P91">
            <v>1</v>
          </cell>
          <cell r="Q91" t="str">
            <v>Stari dom_Stropna_Halo - 2x42W_Soba</v>
          </cell>
        </row>
        <row r="92">
          <cell r="O92" t="str">
            <v>DISANO 746 Oblo 2.0 -15W</v>
          </cell>
          <cell r="P92">
            <v>1</v>
          </cell>
          <cell r="Q92" t="str">
            <v>Stari dom_Stropna_Halo - 4x42W_Skladišče/tehnični prostor</v>
          </cell>
        </row>
        <row r="93">
          <cell r="O93" t="str">
            <v>DISANO 746 Oblo 2.0 -15W</v>
          </cell>
          <cell r="P93">
            <v>1</v>
          </cell>
          <cell r="Q93" t="str">
            <v>Stari dom_Stropna_halo - 3x42W_Hodnik</v>
          </cell>
        </row>
        <row r="94">
          <cell r="O94" t="str">
            <v>DISANO 746 Oblo 2.0 -15W</v>
          </cell>
          <cell r="P94">
            <v>1</v>
          </cell>
          <cell r="Q94" t="str">
            <v>Stari dom_Stropna_halo - 3x42W_WC/Tuš</v>
          </cell>
        </row>
        <row r="95">
          <cell r="O95" t="str">
            <v>DISANO 746 Oblo 2.0 -15W</v>
          </cell>
          <cell r="P95">
            <v>1</v>
          </cell>
          <cell r="Q95" t="str">
            <v>Stari dom_Stropna_halo - 3x42W_Jedilnica</v>
          </cell>
        </row>
        <row r="96">
          <cell r="O96" t="str">
            <v>DISANO 746 Oblo 2.0 -15W</v>
          </cell>
          <cell r="P96">
            <v>1</v>
          </cell>
          <cell r="Q96" t="str">
            <v>Stari dom_Stropna_halo - 3x42W_Soba</v>
          </cell>
        </row>
        <row r="97">
          <cell r="O97" t="str">
            <v>LED E27 Retrofit (1x)-10W</v>
          </cell>
          <cell r="P97">
            <v>1</v>
          </cell>
          <cell r="Q97" t="str">
            <v>Stari dom_Stropna_CFL - 3x15W_Jedilnica</v>
          </cell>
        </row>
        <row r="98">
          <cell r="O98"/>
          <cell r="P98"/>
          <cell r="Q98" t="str">
            <v>(prazno)_(prazno)__(prazno)</v>
          </cell>
        </row>
        <row r="99">
          <cell r="O99"/>
          <cell r="P99"/>
          <cell r="Q99" t="str">
            <v>(prazno)_(prazno)__(prazno)</v>
          </cell>
        </row>
        <row r="100">
          <cell r="O100"/>
          <cell r="P100"/>
          <cell r="Q100" t="str">
            <v>___</v>
          </cell>
        </row>
        <row r="101">
          <cell r="O101"/>
          <cell r="P101"/>
          <cell r="Q101" t="str">
            <v>___</v>
          </cell>
        </row>
        <row r="102">
          <cell r="O102"/>
          <cell r="P102"/>
          <cell r="Q102" t="str">
            <v>___</v>
          </cell>
        </row>
        <row r="103">
          <cell r="O103"/>
          <cell r="P103"/>
          <cell r="Q103" t="str">
            <v>___</v>
          </cell>
        </row>
        <row r="104">
          <cell r="O104"/>
          <cell r="P104"/>
          <cell r="Q104" t="str">
            <v>___</v>
          </cell>
        </row>
        <row r="105">
          <cell r="O105"/>
          <cell r="P105"/>
          <cell r="Q105" t="str">
            <v>___</v>
          </cell>
        </row>
        <row r="106">
          <cell r="O106"/>
          <cell r="P106"/>
          <cell r="Q106" t="str">
            <v>___</v>
          </cell>
        </row>
        <row r="107">
          <cell r="O107"/>
          <cell r="P107"/>
          <cell r="Q107" t="str">
            <v>___</v>
          </cell>
        </row>
        <row r="108">
          <cell r="O108"/>
          <cell r="P108"/>
          <cell r="Q108" t="str">
            <v>___</v>
          </cell>
        </row>
        <row r="109">
          <cell r="O109"/>
          <cell r="P109"/>
          <cell r="Q109" t="str">
            <v>___</v>
          </cell>
        </row>
        <row r="110">
          <cell r="O110"/>
          <cell r="P110"/>
          <cell r="Q110" t="str">
            <v>___</v>
          </cell>
        </row>
        <row r="111">
          <cell r="O111"/>
          <cell r="P111"/>
          <cell r="Q111" t="str">
            <v>___</v>
          </cell>
        </row>
        <row r="112">
          <cell r="O112"/>
          <cell r="Q112" t="str">
            <v>___</v>
          </cell>
        </row>
        <row r="113">
          <cell r="O113"/>
          <cell r="Q113" t="str">
            <v>___</v>
          </cell>
        </row>
      </sheetData>
      <sheetData sheetId="16"/>
      <sheetData sheetId="17"/>
      <sheetData sheetId="18"/>
      <sheetData sheetId="19"/>
      <sheetData sheetId="20"/>
      <sheetData sheetId="2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uo"/>
      <sheetName val="Led"/>
    </sheetNames>
    <sheetDataSet>
      <sheetData sheetId="0">
        <row r="1">
          <cell r="J1">
            <v>260</v>
          </cell>
        </row>
        <row r="2">
          <cell r="J2">
            <v>189</v>
          </cell>
        </row>
      </sheetData>
      <sheetData sheetId="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1"/>
      <sheetName val="Seznam objektov"/>
      <sheetName val="DTP"/>
      <sheetName val="Zbirnik rab"/>
      <sheetName val="Ref. porabe in stroški"/>
      <sheetName val="Energenti"/>
      <sheetName val="Ocena vzdrževanje"/>
      <sheetName val="OB001"/>
      <sheetName val="OB002"/>
      <sheetName val="OB003"/>
      <sheetName val="OB004"/>
      <sheetName val="OB005"/>
      <sheetName val="OB006"/>
      <sheetName val="OB007"/>
      <sheetName val="OB008"/>
      <sheetName val="OB009"/>
      <sheetName val="OB010"/>
      <sheetName val="OB011"/>
      <sheetName val="OB012"/>
      <sheetName val="OB013"/>
      <sheetName val="OB014"/>
      <sheetName val="OB015"/>
      <sheetName val="OB016"/>
      <sheetName val="OB017"/>
      <sheetName val="OB018"/>
      <sheetName val="OB019"/>
      <sheetName val="OB020"/>
      <sheetName val="OB021"/>
      <sheetName val="OB022"/>
      <sheetName val="OB023"/>
      <sheetName val="OB024"/>
      <sheetName val="OB025"/>
      <sheetName val="OB026"/>
      <sheetName val="OB027"/>
      <sheetName val="OB028"/>
      <sheetName val="OB029"/>
      <sheetName val="OB030"/>
      <sheetName val="OB031"/>
      <sheetName val="OB032"/>
      <sheetName val="OB033"/>
      <sheetName val="OB034"/>
      <sheetName val="OB035"/>
      <sheetName val="OB036"/>
      <sheetName val="OB037"/>
      <sheetName val="OBvir038"/>
      <sheetName val="OB038"/>
      <sheetName val="OB039"/>
      <sheetName val="OB040"/>
      <sheetName val="OB041"/>
      <sheetName val="OB042"/>
      <sheetName val="OB043"/>
      <sheetName val="OB044"/>
      <sheetName val="OB045"/>
      <sheetName val="OB046"/>
      <sheetName val="OB047"/>
      <sheetName val="OB048"/>
      <sheetName val="OB049"/>
      <sheetName val="OB050"/>
      <sheetName val="SEZNAM_EUO_V2.6_EOL3_rev00"/>
    </sheetNames>
    <sheetDataSet>
      <sheetData sheetId="0"/>
      <sheetData sheetId="1"/>
      <sheetData sheetId="2">
        <row r="14">
          <cell r="C14">
            <v>2745.9</v>
          </cell>
        </row>
        <row r="15">
          <cell r="C15">
            <v>2766.6</v>
          </cell>
        </row>
        <row r="16">
          <cell r="C16">
            <v>2721.3</v>
          </cell>
        </row>
        <row r="17">
          <cell r="C17">
            <v>2535.8999999999996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ENA"/>
      <sheetName val="Poraba 2011"/>
      <sheetName val="Tip_svetilke"/>
      <sheetName val="Popis"/>
      <sheetName val="Kalkulacija"/>
      <sheetName val="Vzdrževanje"/>
      <sheetName val="KalkulacijaEK"/>
      <sheetName val="CenikEK"/>
      <sheetName val="VzpostavitevEK"/>
      <sheetName val="LetniStroškiEK"/>
    </sheetNames>
    <sheetDataSet>
      <sheetData sheetId="0">
        <row r="1">
          <cell r="B1">
            <v>1.25</v>
          </cell>
        </row>
        <row r="2">
          <cell r="B2">
            <v>4000</v>
          </cell>
        </row>
      </sheetData>
      <sheetData sheetId="1"/>
      <sheetData sheetId="2"/>
      <sheetData sheetId="3"/>
      <sheetData sheetId="4"/>
      <sheetData sheetId="5"/>
      <sheetData sheetId="6"/>
      <sheetData sheetId="7"/>
      <sheetData sheetId="8"/>
      <sheetData sheetId="9"/>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L EOL2 - Seznam objektov in p"/>
      <sheetName val="Elektro del"/>
    </sheetNames>
    <sheetDataSet>
      <sheetData sheetId="0" refreshError="1"/>
      <sheetData sheetId="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NP"/>
      <sheetName val="HPpe"/>
      <sheetName val="HPje"/>
      <sheetName val="HPzd"/>
      <sheetName val="NPN"/>
      <sheetName val="OGR"/>
      <sheetName val="REK"/>
    </sheetNames>
    <sheetDataSet>
      <sheetData sheetId="0"/>
      <sheetData sheetId="1"/>
      <sheetData sheetId="2"/>
      <sheetData sheetId="3"/>
      <sheetData sheetId="4"/>
      <sheetData sheetId="5"/>
      <sheetData sheetId="6"/>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erature"/>
      <sheetName val="Prezračevanje+moč"/>
      <sheetName val="Pripomočki"/>
    </sheetNames>
    <sheetDataSet>
      <sheetData sheetId="0"/>
      <sheetData sheetId="1" refreshError="1"/>
      <sheetData sheetId="2">
        <row r="3">
          <cell r="B3" t="str">
            <v>LJUBLJANA - BEŽIGRAD</v>
          </cell>
          <cell r="F3">
            <v>2015</v>
          </cell>
        </row>
        <row r="4">
          <cell r="B4" t="str">
            <v>BILJE</v>
          </cell>
          <cell r="F4">
            <v>2016</v>
          </cell>
        </row>
        <row r="5">
          <cell r="B5" t="str">
            <v>trenutno povprečje vsega supaj</v>
          </cell>
          <cell r="F5">
            <v>2017</v>
          </cell>
        </row>
        <row r="6">
          <cell r="F6">
            <v>2018</v>
          </cell>
        </row>
        <row r="7">
          <cell r="F7">
            <v>2019</v>
          </cell>
        </row>
        <row r="8">
          <cell r="F8" t="str">
            <v>AVG 2016-18</v>
          </cell>
        </row>
        <row r="9">
          <cell r="F9" t="str">
            <v>MIN 2016-18</v>
          </cell>
        </row>
        <row r="10">
          <cell r="F10" t="str">
            <v>MAX 2016-18</v>
          </cell>
        </row>
        <row r="11">
          <cell r="F11" t="str">
            <v>Tvoj mix</v>
          </cell>
        </row>
      </sheetData>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Rates"/>
      <sheetName val="Kurs walut"/>
      <sheetName val="Karta PKL"/>
      <sheetName val="Zestawienie"/>
      <sheetName val="Oznaczenia"/>
      <sheetName val="Baza klientów"/>
      <sheetName val="UT"/>
      <sheetName val="transfer sales"/>
      <sheetName val="transfer lines"/>
      <sheetName val="Ceny PKL"/>
      <sheetName val="PKL1F zbiorczy"/>
      <sheetName val="PKL2F zbiorczy"/>
      <sheetName val="Moduły"/>
      <sheetName val="Moduł niestandardowy"/>
      <sheetName val="Ceny PKL_MOD"/>
      <sheetName val="Urządzenia"/>
      <sheetName val="kody PKL"/>
      <sheetName val="Kurs_walut"/>
      <sheetName val="Karta_PKL"/>
      <sheetName val="Baza_klientów"/>
      <sheetName val="transfer_sales"/>
      <sheetName val="transfer_lines"/>
      <sheetName val="Ceny_PKL"/>
      <sheetName val="PKL1F_zbiorczy"/>
      <sheetName val="PKL2F_zbiorczy"/>
      <sheetName val="Moduł_niestandardowy"/>
      <sheetName val="Ceny_PKL_MOD"/>
      <sheetName val="kody_PKL"/>
    </sheetNames>
    <sheetDataSet>
      <sheetData sheetId="0" refreshError="1"/>
      <sheetData sheetId="1" refreshError="1"/>
      <sheetData sheetId="2" refreshError="1"/>
      <sheetData sheetId="3" refreshError="1"/>
      <sheetData sheetId="4">
        <row r="3">
          <cell r="A3" t="str">
            <v>PKL2F-1</v>
          </cell>
        </row>
        <row r="4">
          <cell r="A4" t="str">
            <v>PKL2F-2</v>
          </cell>
        </row>
        <row r="5">
          <cell r="A5" t="str">
            <v>PKL2F-3</v>
          </cell>
        </row>
        <row r="6">
          <cell r="A6" t="str">
            <v>PKL2F-4</v>
          </cell>
        </row>
        <row r="7">
          <cell r="A7" t="str">
            <v>PKL2F-5</v>
          </cell>
        </row>
        <row r="8">
          <cell r="A8" t="str">
            <v>PKL2F-4RX</v>
          </cell>
        </row>
        <row r="9">
          <cell r="A9" t="str">
            <v>PKL2F-5RX</v>
          </cell>
        </row>
        <row r="10">
          <cell r="A10" t="str">
            <v>PKL1F-1</v>
          </cell>
        </row>
        <row r="11">
          <cell r="A11" t="str">
            <v>PKL1F-2</v>
          </cell>
        </row>
        <row r="12">
          <cell r="A12" t="str">
            <v>PKL1F-2RX</v>
          </cell>
        </row>
        <row r="13">
          <cell r="A13" t="str">
            <v>PKL1F-1Z</v>
          </cell>
        </row>
        <row r="14">
          <cell r="A14" t="str">
            <v>PKL1F-2Z</v>
          </cell>
        </row>
        <row r="15">
          <cell r="A15" t="str">
            <v>PKL2F-1Z</v>
          </cell>
        </row>
        <row r="16">
          <cell r="A16" t="str">
            <v>PKL2F-2Z</v>
          </cell>
        </row>
        <row r="17">
          <cell r="A17" t="str">
            <v>PKL2F-3Z</v>
          </cell>
        </row>
        <row r="18">
          <cell r="A18" t="str">
            <v>PKL2F-4Z</v>
          </cell>
        </row>
        <row r="19">
          <cell r="A19" t="str">
            <v>PKL2F-5Z</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repi"/>
      <sheetName val="OB035"/>
      <sheetName val="1.0 Energenti"/>
      <sheetName val="1.1 Referenčne vrednosti"/>
      <sheetName val="15 min EE"/>
      <sheetName val="2.0 Energetsko upravljanje"/>
      <sheetName val="2.1 Izolacija fasade"/>
      <sheetName val="2.2 Izolacija streh_podstrešij"/>
      <sheetName val="2.3 Prenova stavbnega pohištva"/>
      <sheetName val="3.1 Prenova ogrevalnega sistema"/>
      <sheetName val="3.2 Prenova toplotne postaje"/>
      <sheetName val="3.1.1 Prenova priprave TSV"/>
      <sheetName val="3.2 Vgradnja TV in TG in HI"/>
      <sheetName val="3.4 Prenova prezračevanja"/>
      <sheetName val="3.3 Prenova prezračevanja"/>
      <sheetName val="4.1 Prenova razsvetljave"/>
      <sheetName val="UKREPI-MO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 mesecima"/>
      <sheetName val="XDO_METADATA"/>
      <sheetName val="Skupno s cenami"/>
      <sheetName val="Data"/>
    </sheetNames>
    <sheetDataSet>
      <sheetData sheetId="0" refreshError="1"/>
      <sheetData sheetId="1" refreshError="1"/>
      <sheetData sheetId="2" refreshError="1"/>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Rates"/>
      <sheetName val="Kurs walut"/>
      <sheetName val="OFFER"/>
      <sheetName val="Pipe"/>
      <sheetName val="zbiorczy (new)"/>
      <sheetName val="Kurs_walut"/>
      <sheetName val="zbiorczy_(new)"/>
      <sheetName val="Baseline"/>
      <sheetName val="Ekonomika EpC"/>
      <sheetName val="Gradnja"/>
    </sheetNames>
    <sheetDataSet>
      <sheetData sheetId="0" refreshError="1"/>
      <sheetData sheetId="1" refreshError="1"/>
      <sheetData sheetId="2" refreshError="1"/>
      <sheetData sheetId="3"/>
      <sheetData sheetId="4" refreshError="1"/>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datki_motor"/>
      <sheetName val="Teh_preracun"/>
      <sheetName val="Emisije"/>
      <sheetName val="Kalkulacija - emisij"/>
      <sheetName val="Koledar"/>
      <sheetName val="DISCRIM-Elektrika"/>
      <sheetName val="Poraba_elektrike"/>
      <sheetName val="Poraba_EL-olja"/>
      <sheetName val="Energetska_bilanca"/>
      <sheetName val="EE-bilanca"/>
      <sheetName val="EL-olje_bilanca"/>
      <sheetName val="Nalozba"/>
      <sheetName val="Stroski obrat"/>
      <sheetName val="Econ_bilanca"/>
      <sheetName val="NSV_CFlow"/>
      <sheetName val="Analiza_ obcut"/>
      <sheetName val="(Poraba_El-kurilnega olja)"/>
      <sheetName val="Baseline"/>
      <sheetName val="Ekonomika EpC"/>
      <sheetName val="Gradnj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zalniki"/>
      <sheetName val="am. načrt-x-ELTEC"/>
      <sheetName val="Zamenjava"/>
      <sheetName val="Prihranki"/>
      <sheetName val="Rekapitulacija"/>
      <sheetName val="Vzdrževanje"/>
      <sheetName val="Cenik"/>
      <sheetName val="Cenik Luminext"/>
      <sheetName val="Cenik Reverberi"/>
      <sheetName val="Rever_Lumi"/>
    </sheetNames>
    <sheetDataSet>
      <sheetData sheetId="0"/>
      <sheetData sheetId="1" refreshError="1"/>
      <sheetData sheetId="2" refreshError="1"/>
      <sheetData sheetId="3" refreshError="1"/>
      <sheetData sheetId="4" refreshError="1"/>
      <sheetData sheetId="5" refreshError="1"/>
      <sheetData sheetId="6">
        <row r="3">
          <cell r="F3">
            <v>216.5</v>
          </cell>
        </row>
        <row r="6">
          <cell r="F6">
            <v>252.8</v>
          </cell>
        </row>
        <row r="9">
          <cell r="F9">
            <v>151.35</v>
          </cell>
        </row>
        <row r="12">
          <cell r="F12">
            <v>151.35</v>
          </cell>
        </row>
        <row r="26">
          <cell r="F26">
            <v>134</v>
          </cell>
        </row>
        <row r="29">
          <cell r="F29">
            <v>136</v>
          </cell>
        </row>
        <row r="40">
          <cell r="F40">
            <v>147.69999999999999</v>
          </cell>
        </row>
        <row r="49">
          <cell r="F49">
            <v>420.8</v>
          </cell>
        </row>
        <row r="97">
          <cell r="F97">
            <v>2.5</v>
          </cell>
        </row>
        <row r="98">
          <cell r="F98">
            <v>0.2</v>
          </cell>
        </row>
        <row r="108">
          <cell r="F108">
            <v>2</v>
          </cell>
        </row>
        <row r="109">
          <cell r="F109">
            <v>0.2</v>
          </cell>
        </row>
      </sheetData>
      <sheetData sheetId="7">
        <row r="4">
          <cell r="C4">
            <v>1500</v>
          </cell>
        </row>
        <row r="10">
          <cell r="C10">
            <v>128</v>
          </cell>
        </row>
        <row r="15">
          <cell r="C15">
            <v>1575</v>
          </cell>
        </row>
        <row r="27">
          <cell r="C27">
            <v>131</v>
          </cell>
        </row>
        <row r="28">
          <cell r="C28">
            <v>134</v>
          </cell>
        </row>
        <row r="29">
          <cell r="C29">
            <v>118</v>
          </cell>
        </row>
        <row r="30">
          <cell r="C30">
            <v>118</v>
          </cell>
        </row>
        <row r="34">
          <cell r="C34">
            <v>246</v>
          </cell>
        </row>
        <row r="35">
          <cell r="C35">
            <v>246</v>
          </cell>
        </row>
        <row r="36">
          <cell r="C36">
            <v>259</v>
          </cell>
        </row>
        <row r="37">
          <cell r="C37">
            <v>262</v>
          </cell>
        </row>
        <row r="55">
          <cell r="C55">
            <v>30926</v>
          </cell>
        </row>
      </sheetData>
      <sheetData sheetId="8">
        <row r="32">
          <cell r="E32">
            <v>6150</v>
          </cell>
        </row>
        <row r="39">
          <cell r="E39">
            <v>1900</v>
          </cell>
        </row>
      </sheetData>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G"/>
      <sheetName val="Muog"/>
      <sheetName val="Tilgung"/>
      <sheetName val="Tilgung Ferngas"/>
      <sheetName val="DCF"/>
      <sheetName val="s"/>
      <sheetName val="  ©"/>
      <sheetName val="Übersicht"/>
      <sheetName val="Anlagen"/>
      <sheetName val="Zahlungsströme"/>
      <sheetName val="Kennzahlen"/>
      <sheetName val="D-IRR"/>
      <sheetName val="D-CF"/>
      <sheetName val="D-E"/>
      <sheetName val="D-A"/>
      <sheetName val="D-A1"/>
      <sheetName val="D-A2"/>
      <sheetName val="Ablage"/>
      <sheetName val="D-IRR2"/>
      <sheetName val="D-CF2"/>
      <sheetName val="D-A1%"/>
      <sheetName val="D-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G"/>
      <sheetName val="Muog"/>
      <sheetName val="Tilgung"/>
      <sheetName val="Tilgung Ferngas"/>
      <sheetName val="DCF"/>
      <sheetName val="s"/>
      <sheetName val="  ©"/>
      <sheetName val="Übersicht"/>
      <sheetName val="Anlagen"/>
      <sheetName val="Zahlungsströme"/>
      <sheetName val="Kennzahlen"/>
      <sheetName val="D-IRR"/>
      <sheetName val="D-CF"/>
      <sheetName val="D-E"/>
      <sheetName val="D-A"/>
      <sheetName val="D-A1"/>
      <sheetName val="D-A2"/>
      <sheetName val="Ablage"/>
      <sheetName val="D-IRR2"/>
      <sheetName val="D-CF2"/>
      <sheetName val="D-A1%"/>
      <sheetName val="D-A2%"/>
      <sheetName val="Tilgung_Ferngas"/>
      <sheetName val="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G"/>
      <sheetName val="Muog"/>
      <sheetName val="Tilgung"/>
      <sheetName val="Tilgung Ferngas"/>
      <sheetName val="DCF"/>
      <sheetName val="s"/>
      <sheetName val="  ©"/>
      <sheetName val="Übersicht"/>
      <sheetName val="Anlagen"/>
      <sheetName val="Zahlungsströme"/>
      <sheetName val="Kennzahlen"/>
      <sheetName val="D-IRR"/>
      <sheetName val="D-CF"/>
      <sheetName val="D-E"/>
      <sheetName val="D-A"/>
      <sheetName val="D-A1"/>
      <sheetName val="D-A2"/>
      <sheetName val="Ablage"/>
      <sheetName val="D-IRR2"/>
      <sheetName val="D-CF2"/>
      <sheetName val="D-A1%"/>
      <sheetName val="D-A2%"/>
      <sheetName val="Tilgung_Ferngas"/>
      <sheetName val="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Pisarna">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2:I47"/>
  <sheetViews>
    <sheetView view="pageBreakPreview" topLeftCell="A22" zoomScaleNormal="100" zoomScaleSheetLayoutView="100" workbookViewId="0">
      <selection activeCell="E33" sqref="E33"/>
    </sheetView>
  </sheetViews>
  <sheetFormatPr defaultColWidth="9.140625" defaultRowHeight="14.25" x14ac:dyDescent="0.2"/>
  <cols>
    <col min="1" max="4" width="9.140625" style="71"/>
    <col min="5" max="5" width="9.140625" style="70"/>
    <col min="6" max="16384" width="9.140625" style="71"/>
  </cols>
  <sheetData>
    <row r="12" spans="8:8" x14ac:dyDescent="0.2">
      <c r="H12" s="102"/>
    </row>
    <row r="17" spans="1:9" ht="23.25" x14ac:dyDescent="0.2">
      <c r="A17" s="1150" t="s">
        <v>0</v>
      </c>
      <c r="B17" s="1150"/>
      <c r="C17" s="1150"/>
      <c r="D17" s="1150"/>
      <c r="E17" s="1150"/>
      <c r="F17" s="1150"/>
      <c r="G17" s="1150"/>
      <c r="H17" s="1150"/>
      <c r="I17" s="1150"/>
    </row>
    <row r="18" spans="1:9" ht="18" x14ac:dyDescent="0.25">
      <c r="D18" s="128"/>
      <c r="E18" s="129" t="s">
        <v>450</v>
      </c>
    </row>
    <row r="19" spans="1:9" ht="15" x14ac:dyDescent="0.2">
      <c r="E19" s="72"/>
    </row>
    <row r="20" spans="1:9" ht="15" x14ac:dyDescent="0.2">
      <c r="E20" s="72"/>
    </row>
    <row r="23" spans="1:9" ht="30" x14ac:dyDescent="0.2">
      <c r="A23" s="1151" t="s">
        <v>1</v>
      </c>
      <c r="B23" s="1151"/>
      <c r="C23" s="1151"/>
      <c r="D23" s="1151"/>
      <c r="E23" s="1151"/>
      <c r="F23" s="1151"/>
      <c r="G23" s="1151"/>
      <c r="H23" s="1151"/>
      <c r="I23" s="1151"/>
    </row>
    <row r="27" spans="1:9" ht="15" customHeight="1" x14ac:dyDescent="0.2">
      <c r="D27" s="1152" t="s">
        <v>2</v>
      </c>
      <c r="E27" s="1152"/>
      <c r="F27" s="1152"/>
    </row>
    <row r="28" spans="1:9" ht="15" customHeight="1" x14ac:dyDescent="0.2">
      <c r="C28" s="73">
        <v>1</v>
      </c>
      <c r="D28" s="1149" t="s">
        <v>3</v>
      </c>
      <c r="E28" s="1149"/>
      <c r="F28" s="1149"/>
      <c r="G28" s="102"/>
    </row>
    <row r="29" spans="1:9" x14ac:dyDescent="0.2">
      <c r="C29" s="73">
        <v>2</v>
      </c>
      <c r="D29" s="1149" t="s">
        <v>4</v>
      </c>
      <c r="E29" s="1149"/>
      <c r="F29" s="1149"/>
      <c r="G29" s="102"/>
    </row>
    <row r="30" spans="1:9" x14ac:dyDescent="0.2">
      <c r="C30" s="73"/>
      <c r="D30" s="1149" t="s">
        <v>5</v>
      </c>
      <c r="E30" s="1149"/>
      <c r="F30" s="1149"/>
      <c r="G30" s="102"/>
    </row>
    <row r="31" spans="1:9" x14ac:dyDescent="0.2">
      <c r="C31" s="73">
        <v>3</v>
      </c>
      <c r="D31" s="1097"/>
      <c r="E31" s="1097" t="s">
        <v>540</v>
      </c>
      <c r="F31" s="1097"/>
      <c r="G31" s="102"/>
    </row>
    <row r="32" spans="1:9" x14ac:dyDescent="0.2">
      <c r="C32" s="73">
        <v>4</v>
      </c>
      <c r="D32" s="1097"/>
      <c r="E32" s="1097" t="s">
        <v>562</v>
      </c>
      <c r="F32" s="1097"/>
      <c r="G32" s="102"/>
    </row>
    <row r="33" spans="3:7" x14ac:dyDescent="0.2">
      <c r="C33" s="73">
        <v>6</v>
      </c>
      <c r="D33" s="1097"/>
      <c r="E33" s="1097" t="s">
        <v>563</v>
      </c>
      <c r="F33" s="1097"/>
      <c r="G33" s="102"/>
    </row>
    <row r="34" spans="3:7" x14ac:dyDescent="0.2">
      <c r="C34" s="73">
        <v>7</v>
      </c>
      <c r="D34" s="1149" t="s">
        <v>564</v>
      </c>
      <c r="E34" s="1149"/>
      <c r="F34" s="1149"/>
      <c r="G34" s="102"/>
    </row>
    <row r="35" spans="3:7" x14ac:dyDescent="0.2">
      <c r="C35" s="73">
        <v>8</v>
      </c>
      <c r="D35" s="1149" t="s">
        <v>6</v>
      </c>
      <c r="E35" s="1149"/>
      <c r="F35" s="1149"/>
      <c r="G35" s="102"/>
    </row>
    <row r="36" spans="3:7" x14ac:dyDescent="0.2">
      <c r="C36" s="73">
        <v>9</v>
      </c>
      <c r="D36" s="1149" t="s">
        <v>7</v>
      </c>
      <c r="E36" s="1149"/>
      <c r="F36" s="1149"/>
      <c r="G36" s="102"/>
    </row>
    <row r="37" spans="3:7" x14ac:dyDescent="0.2">
      <c r="C37" s="73">
        <v>10</v>
      </c>
      <c r="D37" s="1149" t="s">
        <v>565</v>
      </c>
      <c r="E37" s="1149"/>
      <c r="F37" s="1149"/>
      <c r="G37" s="102"/>
    </row>
    <row r="38" spans="3:7" x14ac:dyDescent="0.2">
      <c r="C38" s="73">
        <v>11</v>
      </c>
      <c r="D38" s="1149" t="s">
        <v>8</v>
      </c>
      <c r="E38" s="1149"/>
      <c r="F38" s="1149"/>
      <c r="G38" s="102"/>
    </row>
    <row r="39" spans="3:7" x14ac:dyDescent="0.2">
      <c r="C39" s="73">
        <v>12</v>
      </c>
      <c r="D39" s="1149" t="s">
        <v>436</v>
      </c>
      <c r="E39" s="1149"/>
      <c r="F39" s="1149"/>
      <c r="G39" s="102"/>
    </row>
    <row r="40" spans="3:7" x14ac:dyDescent="0.2">
      <c r="C40" s="73">
        <v>13</v>
      </c>
      <c r="G40" s="102"/>
    </row>
    <row r="41" spans="3:7" x14ac:dyDescent="0.2">
      <c r="C41" s="73">
        <v>14</v>
      </c>
      <c r="D41" s="1149"/>
      <c r="E41" s="1149"/>
      <c r="F41" s="1149"/>
      <c r="G41" s="102"/>
    </row>
    <row r="42" spans="3:7" x14ac:dyDescent="0.2">
      <c r="C42" s="73">
        <v>15</v>
      </c>
      <c r="D42" s="1149"/>
      <c r="E42" s="1149"/>
      <c r="F42" s="1149"/>
      <c r="G42" s="102"/>
    </row>
    <row r="43" spans="3:7" x14ac:dyDescent="0.2">
      <c r="C43" s="102"/>
      <c r="D43" s="102"/>
      <c r="F43" s="102"/>
      <c r="G43" s="102"/>
    </row>
    <row r="44" spans="3:7" x14ac:dyDescent="0.2">
      <c r="C44" s="102"/>
      <c r="D44" s="1149" t="s">
        <v>451</v>
      </c>
      <c r="E44" s="1149"/>
      <c r="F44" s="1149"/>
      <c r="G44" s="102"/>
    </row>
    <row r="45" spans="3:7" x14ac:dyDescent="0.2">
      <c r="D45" s="102"/>
      <c r="E45" s="131"/>
      <c r="F45" s="102"/>
      <c r="G45" s="102"/>
    </row>
    <row r="46" spans="3:7" x14ac:dyDescent="0.2">
      <c r="D46" s="102"/>
      <c r="E46" s="131"/>
      <c r="F46" s="102"/>
      <c r="G46" s="102"/>
    </row>
    <row r="47" spans="3:7" x14ac:dyDescent="0.2">
      <c r="D47" s="102"/>
      <c r="E47" s="131"/>
      <c r="F47" s="102"/>
      <c r="G47" s="102"/>
    </row>
  </sheetData>
  <mergeCells count="15">
    <mergeCell ref="D44:F44"/>
    <mergeCell ref="D41:F41"/>
    <mergeCell ref="D30:F30"/>
    <mergeCell ref="A17:I17"/>
    <mergeCell ref="A23:I23"/>
    <mergeCell ref="D27:F27"/>
    <mergeCell ref="D42:F42"/>
    <mergeCell ref="D29:F29"/>
    <mergeCell ref="D28:F28"/>
    <mergeCell ref="D34:F34"/>
    <mergeCell ref="D35:F35"/>
    <mergeCell ref="D36:F36"/>
    <mergeCell ref="D37:F37"/>
    <mergeCell ref="D38:F38"/>
    <mergeCell ref="D39:F39"/>
  </mergeCells>
  <pageMargins left="0.70866141732283472" right="0.70866141732283472" top="0.74803149606299213" bottom="0.74803149606299213" header="0.31496062992125984" footer="0.31496062992125984"/>
  <pageSetup paperSize="9" orientation="portrait" r:id="rId1"/>
  <headerFooter>
    <oddHeader>&amp;LProgram izvajanja koncesije "Celovita energetska prenova 7 objektov UKC LJ"&amp;R&amp;A</oddHeader>
    <oddFooter>&amp;RStran &amp;P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9DB36-765C-4C8C-9E4F-4997D118DE19}">
  <sheetPr>
    <pageSetUpPr fitToPage="1"/>
  </sheetPr>
  <dimension ref="B2:P150"/>
  <sheetViews>
    <sheetView showWhiteSpace="0" topLeftCell="A100" zoomScale="85" zoomScaleNormal="85" zoomScaleSheetLayoutView="85" workbookViewId="0">
      <selection activeCell="I122" sqref="I122"/>
    </sheetView>
  </sheetViews>
  <sheetFormatPr defaultColWidth="9.140625" defaultRowHeight="12.75" x14ac:dyDescent="0.2"/>
  <cols>
    <col min="1" max="1" width="4.85546875" style="32" customWidth="1"/>
    <col min="2" max="2" width="61.42578125" style="32" bestFit="1" customWidth="1"/>
    <col min="3" max="3" width="11.140625" style="32" bestFit="1" customWidth="1"/>
    <col min="4" max="4" width="15" style="32" customWidth="1"/>
    <col min="5" max="5" width="17.28515625" style="32" customWidth="1"/>
    <col min="6" max="6" width="16.42578125" style="32" customWidth="1"/>
    <col min="7" max="7" width="3.7109375" style="32" customWidth="1"/>
    <col min="8" max="8" width="42.7109375" style="32" customWidth="1"/>
    <col min="9" max="13" width="17.7109375" style="32" customWidth="1"/>
    <col min="14" max="14" width="14.5703125" style="32" customWidth="1"/>
    <col min="15" max="15" width="9.140625" style="32"/>
    <col min="16" max="16" width="9.140625" style="32" customWidth="1"/>
    <col min="17" max="16384" width="9.140625" style="32"/>
  </cols>
  <sheetData>
    <row r="2" spans="2:15" ht="20.25" x14ac:dyDescent="0.2">
      <c r="B2" s="37" t="s">
        <v>81</v>
      </c>
      <c r="C2" s="102"/>
      <c r="D2" s="102"/>
      <c r="E2" s="102"/>
      <c r="F2" s="102"/>
      <c r="G2" s="102"/>
      <c r="H2" s="102"/>
      <c r="I2" s="102"/>
      <c r="J2" s="102"/>
      <c r="K2" s="102"/>
      <c r="L2" s="102"/>
      <c r="M2" s="102"/>
      <c r="N2" s="102"/>
      <c r="O2" s="102"/>
    </row>
    <row r="4" spans="2:15" ht="16.5" thickBot="1" x14ac:dyDescent="0.25">
      <c r="B4" s="39" t="s">
        <v>303</v>
      </c>
      <c r="C4" s="102"/>
      <c r="D4" s="102"/>
      <c r="E4" s="102"/>
      <c r="F4" s="102"/>
      <c r="G4" s="102"/>
      <c r="H4" s="102"/>
      <c r="I4" s="102"/>
      <c r="J4" s="102"/>
      <c r="K4" s="102"/>
      <c r="L4" s="102"/>
      <c r="M4" s="102"/>
      <c r="N4" s="102"/>
      <c r="O4" s="102"/>
    </row>
    <row r="5" spans="2:15" ht="15" customHeight="1" x14ac:dyDescent="0.2">
      <c r="B5" s="7" t="s">
        <v>82</v>
      </c>
      <c r="C5" s="165"/>
      <c r="D5" s="166"/>
      <c r="E5" s="102"/>
      <c r="F5" s="102"/>
      <c r="G5" s="102"/>
      <c r="H5" s="102"/>
      <c r="I5" s="102"/>
      <c r="J5" s="102"/>
      <c r="K5" s="102"/>
      <c r="L5" s="102"/>
      <c r="M5" s="102"/>
      <c r="N5" s="102"/>
      <c r="O5" s="102"/>
    </row>
    <row r="6" spans="2:15" ht="15" customHeight="1" x14ac:dyDescent="0.2">
      <c r="B6" s="1163" t="s">
        <v>51</v>
      </c>
      <c r="C6" s="1164"/>
      <c r="D6" s="167">
        <v>2</v>
      </c>
      <c r="E6" s="102"/>
      <c r="F6" s="102"/>
      <c r="G6" s="102"/>
      <c r="H6" s="102"/>
      <c r="I6" s="102"/>
      <c r="J6" s="102"/>
      <c r="K6" s="102"/>
      <c r="L6" s="102"/>
      <c r="M6" s="102"/>
      <c r="N6" s="102"/>
      <c r="O6" s="102"/>
    </row>
    <row r="7" spans="2:15" ht="15" customHeight="1" x14ac:dyDescent="0.2">
      <c r="B7" s="1163" t="s">
        <v>52</v>
      </c>
      <c r="C7" s="1164"/>
      <c r="D7" s="167" t="str">
        <f>INDEX('Referenčne količine'!$B$4:$G$15,MATCH(B7,('Referenčne količine'!$B$4:$B$15),0),MATCH($D$6,'Referenčne količine'!$B$5:$G$5,0))</f>
        <v>OB002</v>
      </c>
      <c r="E7" s="102"/>
      <c r="F7" s="102"/>
      <c r="G7" s="102"/>
      <c r="H7" s="102"/>
      <c r="I7" s="102"/>
      <c r="J7" s="102"/>
      <c r="K7" s="102"/>
      <c r="L7" s="102"/>
      <c r="M7" s="102"/>
      <c r="N7" s="102"/>
      <c r="O7" s="102"/>
    </row>
    <row r="8" spans="2:15" ht="39.950000000000003" customHeight="1" x14ac:dyDescent="0.2">
      <c r="B8" s="1163" t="s">
        <v>53</v>
      </c>
      <c r="C8" s="1164"/>
      <c r="D8" s="168" t="str">
        <f>INDEX('Referenčne količine'!$B$4:$G$15,MATCH(B8,('Referenčne količine'!$B$4:$B$15),0),MATCH($D$6,'Referenčne količine'!$B$5:$G$5,0))</f>
        <v>Zadružni dom Vnanje Gorice</v>
      </c>
      <c r="E8" s="102"/>
      <c r="F8" s="102"/>
      <c r="G8" s="102"/>
      <c r="H8" s="102"/>
      <c r="I8" s="102"/>
      <c r="J8" s="102"/>
      <c r="K8" s="102"/>
      <c r="L8" s="102"/>
      <c r="M8" s="102"/>
      <c r="N8" s="102"/>
      <c r="O8" s="102"/>
    </row>
    <row r="9" spans="2:15" ht="15" customHeight="1" x14ac:dyDescent="0.2">
      <c r="B9" s="6" t="s">
        <v>54</v>
      </c>
      <c r="C9" s="5" t="s">
        <v>55</v>
      </c>
      <c r="D9" s="29">
        <f>INDEX('Referenčne količine'!$B$4:$G$15,MATCH(B9,('Referenčne količine'!$B$4:$B$15),0),MATCH($D$6,'Referenčne količine'!$B$5:$G$5,0))</f>
        <v>630.5</v>
      </c>
      <c r="E9" s="102"/>
      <c r="F9" s="102"/>
      <c r="G9" s="102"/>
      <c r="H9" s="102"/>
      <c r="I9" s="102"/>
      <c r="J9" s="102"/>
      <c r="K9" s="102"/>
      <c r="L9" s="102"/>
      <c r="M9" s="102"/>
      <c r="N9" s="102"/>
      <c r="O9" s="102"/>
    </row>
    <row r="10" spans="2:15" ht="15" customHeight="1" thickBot="1" x14ac:dyDescent="0.25">
      <c r="B10" s="3" t="s">
        <v>83</v>
      </c>
      <c r="C10" s="8"/>
      <c r="D10" s="9"/>
      <c r="E10" s="102"/>
      <c r="F10" s="102"/>
      <c r="G10" s="102"/>
      <c r="H10" s="39" t="s">
        <v>84</v>
      </c>
      <c r="I10" s="102"/>
      <c r="J10" s="102"/>
      <c r="K10" s="102"/>
      <c r="L10" s="102"/>
      <c r="M10" s="102"/>
      <c r="N10" s="102"/>
      <c r="O10" s="102"/>
    </row>
    <row r="11" spans="2:15" ht="15" customHeight="1" x14ac:dyDescent="0.2">
      <c r="B11" s="169" t="s">
        <v>63</v>
      </c>
      <c r="C11" s="170"/>
      <c r="D11" s="167" t="str">
        <f>INDEX('Referenčne količine'!$B$16:$G$36,MATCH(B11,('Referenčne količine'!$B$16:$B$36),0),MATCH($D$6,'Referenčne količine'!$B$5:$G$5,0))</f>
        <v>ZP</v>
      </c>
      <c r="E11" s="102"/>
      <c r="F11" s="102"/>
      <c r="G11" s="102"/>
      <c r="H11" s="107" t="s">
        <v>84</v>
      </c>
      <c r="I11" s="108"/>
      <c r="J11" s="109"/>
      <c r="K11" s="50" t="str">
        <f>D7</f>
        <v>OB002</v>
      </c>
      <c r="L11" s="102"/>
      <c r="M11" s="102"/>
      <c r="N11" s="102"/>
      <c r="O11" s="102"/>
    </row>
    <row r="12" spans="2:15" ht="15" customHeight="1" x14ac:dyDescent="0.2">
      <c r="B12" s="171" t="s">
        <v>272</v>
      </c>
      <c r="C12" s="150" t="s">
        <v>64</v>
      </c>
      <c r="D12" s="29">
        <f>INDEX('Referenčne količine'!$B$16:$G$36,MATCH(B12,('Referenčne količine'!$B$16:$B$36),0),MATCH($D$6,'Referenčne količine'!$B$5:$G$5,0))</f>
        <v>98598</v>
      </c>
      <c r="E12" s="102"/>
      <c r="F12" s="102"/>
      <c r="G12" s="102"/>
      <c r="H12" s="1165" t="s">
        <v>85</v>
      </c>
      <c r="I12" s="1166"/>
      <c r="J12" s="1167"/>
      <c r="K12" s="51" t="s">
        <v>12</v>
      </c>
      <c r="L12" s="102"/>
      <c r="M12" s="102"/>
      <c r="N12" s="102"/>
      <c r="O12" s="242"/>
    </row>
    <row r="13" spans="2:15" ht="15" customHeight="1" x14ac:dyDescent="0.2">
      <c r="B13" s="171" t="s">
        <v>273</v>
      </c>
      <c r="C13" s="150" t="s">
        <v>64</v>
      </c>
      <c r="D13" s="29">
        <f>INDEX('Referenčne količine'!$B$16:$G$36,MATCH(B13,('Referenčne količine'!$B$16:$B$36),0),MATCH($D$6,'Referenčne količine'!$B$5:$G$5,0))</f>
        <v>0</v>
      </c>
      <c r="E13" s="102"/>
      <c r="F13" s="102"/>
      <c r="G13" s="102"/>
      <c r="H13" s="208" t="s" cm="1">
        <v>453</v>
      </c>
      <c r="I13" s="209"/>
      <c r="J13" s="210"/>
      <c r="K13" s="172"/>
      <c r="L13" s="102"/>
      <c r="M13" s="102"/>
      <c r="N13" s="102"/>
      <c r="O13" s="102"/>
    </row>
    <row r="14" spans="2:15" ht="15" customHeight="1" x14ac:dyDescent="0.2">
      <c r="B14" s="171" t="s">
        <v>274</v>
      </c>
      <c r="C14" s="150" t="s">
        <v>64</v>
      </c>
      <c r="D14" s="29">
        <f>INDEX('Referenčne količine'!$B$16:$G$36,MATCH(B14,('Referenčne količine'!$B$16:$B$36),0),MATCH($D$6,'Referenčne količine'!$B$5:$G$5,0))</f>
        <v>98598</v>
      </c>
      <c r="E14" s="102"/>
      <c r="F14" s="102"/>
      <c r="G14" s="102"/>
      <c r="H14" s="208" t="s">
        <v>454</v>
      </c>
      <c r="I14" s="209"/>
      <c r="J14" s="210"/>
      <c r="K14" s="172"/>
      <c r="L14" s="102"/>
      <c r="M14" s="102"/>
      <c r="N14" s="102"/>
      <c r="O14" s="102"/>
    </row>
    <row r="15" spans="2:15" ht="15" customHeight="1" x14ac:dyDescent="0.2">
      <c r="B15" s="171" t="s">
        <v>275</v>
      </c>
      <c r="C15" s="150" t="s">
        <v>64</v>
      </c>
      <c r="D15" s="29">
        <f>INDEX('Referenčne količine'!$B$16:$G$36,MATCH(B15,('Referenčne količine'!$B$16:$B$36),0),MATCH($D$6,'Referenčne količine'!$B$5:$G$5,0))</f>
        <v>98598.333334460243</v>
      </c>
      <c r="E15" s="102"/>
      <c r="F15" s="102"/>
      <c r="G15" s="102"/>
      <c r="H15" s="208" t="s">
        <v>455</v>
      </c>
      <c r="I15" s="209"/>
      <c r="J15" s="210"/>
      <c r="K15" s="172"/>
      <c r="L15" s="102"/>
      <c r="M15" s="102"/>
      <c r="N15" s="102"/>
      <c r="O15" s="102"/>
    </row>
    <row r="16" spans="2:15" ht="15" customHeight="1" x14ac:dyDescent="0.2">
      <c r="B16" s="171" t="s">
        <v>285</v>
      </c>
      <c r="C16" s="150" t="s">
        <v>64</v>
      </c>
      <c r="D16" s="29">
        <f>INDEX('Referenčne količine'!$B$16:$G$36,MATCH(B16,('Referenčne količine'!$B$16:$B$36),0),MATCH($D$6,'Referenčne količine'!$B$5:$G$5,0))</f>
        <v>0</v>
      </c>
      <c r="E16" s="102"/>
      <c r="F16" s="102"/>
      <c r="G16" s="102"/>
      <c r="H16" s="173" t="s">
        <v>456</v>
      </c>
      <c r="I16" s="174"/>
      <c r="J16" s="175"/>
      <c r="K16" s="172"/>
      <c r="L16" s="102"/>
      <c r="M16" s="102"/>
      <c r="N16" s="102"/>
      <c r="O16" s="102"/>
    </row>
    <row r="17" spans="2:15" ht="15" customHeight="1" x14ac:dyDescent="0.2">
      <c r="B17" s="171" t="s">
        <v>276</v>
      </c>
      <c r="C17" s="150" t="s">
        <v>64</v>
      </c>
      <c r="D17" s="29">
        <f>INDEX('Referenčne količine'!$B$16:$G$36,MATCH(B17,('Referenčne količine'!$B$16:$B$36),0),MATCH($D$6,'Referenčne količine'!$B$5:$G$5,0))</f>
        <v>0</v>
      </c>
      <c r="E17" s="102"/>
      <c r="F17" s="102"/>
      <c r="G17" s="102"/>
      <c r="H17" s="173" t="s">
        <v>457</v>
      </c>
      <c r="I17" s="174"/>
      <c r="J17" s="175"/>
      <c r="K17" s="172"/>
      <c r="L17" s="102"/>
      <c r="M17" s="102"/>
      <c r="N17" s="102"/>
      <c r="O17" s="102"/>
    </row>
    <row r="18" spans="2:15" ht="15" customHeight="1" thickBot="1" x14ac:dyDescent="0.25">
      <c r="B18" s="536"/>
      <c r="C18" s="482"/>
      <c r="D18" s="537"/>
      <c r="E18" s="102"/>
      <c r="F18" s="102"/>
      <c r="G18" s="102"/>
      <c r="H18" s="173"/>
      <c r="I18" s="174"/>
      <c r="J18" s="175"/>
      <c r="K18" s="172"/>
      <c r="L18" s="102"/>
      <c r="M18" s="102"/>
      <c r="N18" s="102"/>
      <c r="O18" s="102"/>
    </row>
    <row r="19" spans="2:15" ht="15" customHeight="1" x14ac:dyDescent="0.25">
      <c r="B19" s="487" t="s">
        <v>286</v>
      </c>
      <c r="C19" s="203" t="s">
        <v>64</v>
      </c>
      <c r="D19" s="540">
        <f>INDEX('Referenčne količine'!$B$16:$G$36,MATCH(B19,('Referenčne količine'!$B$16:$B$36),0),MATCH($D$6,'Referenčne količine'!$B$5:$G$5,0))</f>
        <v>69069</v>
      </c>
      <c r="E19" s="35"/>
      <c r="F19" s="102"/>
      <c r="G19" s="102"/>
      <c r="H19" s="173"/>
      <c r="I19" s="174"/>
      <c r="J19" s="175"/>
      <c r="K19" s="172"/>
      <c r="L19" s="102"/>
      <c r="M19" s="102"/>
      <c r="N19" s="102"/>
      <c r="O19" s="102"/>
    </row>
    <row r="20" spans="2:15" ht="15" customHeight="1" x14ac:dyDescent="0.2">
      <c r="B20" s="171" t="s">
        <v>287</v>
      </c>
      <c r="C20" s="150" t="s">
        <v>64</v>
      </c>
      <c r="D20" s="29">
        <f>INDEX('Referenčne količine'!$B$16:$G$36,MATCH(B20,('Referenčne količine'!$B$16:$B$36),0),MATCH($D$6,'Referenčne količine'!$B$5:$G$5,0))</f>
        <v>0</v>
      </c>
      <c r="E20" s="102"/>
      <c r="F20" s="102"/>
      <c r="G20" s="102"/>
      <c r="H20" s="173"/>
      <c r="I20" s="174"/>
      <c r="J20" s="175"/>
      <c r="K20" s="172"/>
      <c r="L20" s="102"/>
      <c r="M20" s="102"/>
      <c r="N20" s="102"/>
      <c r="O20" s="102"/>
    </row>
    <row r="21" spans="2:15" ht="15" customHeight="1" x14ac:dyDescent="0.2">
      <c r="B21" s="4" t="s">
        <v>288</v>
      </c>
      <c r="C21" s="2" t="s">
        <v>64</v>
      </c>
      <c r="D21" s="531">
        <f>INDEX('Referenčne količine'!$B$16:$G$36,MATCH(B21,('Referenčne količine'!$B$16:$B$36),0),MATCH($D$6,'Referenčne količine'!$B$5:$G$5,0))</f>
        <v>69069</v>
      </c>
      <c r="E21" s="102"/>
      <c r="F21" s="102"/>
      <c r="G21" s="102"/>
      <c r="H21" s="173"/>
      <c r="I21" s="174"/>
      <c r="J21" s="175"/>
      <c r="K21" s="172"/>
      <c r="L21" s="102"/>
      <c r="M21" s="102"/>
      <c r="N21" s="102"/>
      <c r="O21" s="102"/>
    </row>
    <row r="22" spans="2:15" ht="15" customHeight="1" x14ac:dyDescent="0.2">
      <c r="B22" s="171" t="s">
        <v>289</v>
      </c>
      <c r="C22" s="150" t="s">
        <v>64</v>
      </c>
      <c r="D22" s="29">
        <f>INDEX('Referenčne količine'!$B$16:$G$36,MATCH(B22,('Referenčne količine'!$B$16:$B$36),0),MATCH($D$6,'Referenčne količine'!$B$5:$G$5,0))</f>
        <v>69069.233504511591</v>
      </c>
      <c r="E22" s="102"/>
      <c r="F22" s="102"/>
      <c r="G22" s="102"/>
      <c r="H22" s="173"/>
      <c r="I22" s="174"/>
      <c r="J22" s="175"/>
      <c r="K22" s="172"/>
      <c r="L22" s="102"/>
      <c r="M22" s="102"/>
      <c r="N22" s="102"/>
      <c r="O22" s="102"/>
    </row>
    <row r="23" spans="2:15" ht="15" customHeight="1" x14ac:dyDescent="0.2">
      <c r="B23" s="171" t="s">
        <v>290</v>
      </c>
      <c r="C23" s="150" t="s">
        <v>64</v>
      </c>
      <c r="D23" s="29">
        <f>INDEX('Referenčne količine'!$B$16:$G$36,MATCH(B23,('Referenčne količine'!$B$16:$B$36),0),MATCH($D$6,'Referenčne količine'!$B$5:$G$5,0))</f>
        <v>0</v>
      </c>
      <c r="E23" s="102"/>
      <c r="F23" s="102"/>
      <c r="G23" s="102"/>
      <c r="H23" s="104"/>
      <c r="I23" s="105"/>
      <c r="J23" s="106"/>
      <c r="K23" s="172"/>
      <c r="L23" s="102"/>
      <c r="M23" s="97"/>
      <c r="N23" s="102"/>
      <c r="O23" s="102"/>
    </row>
    <row r="24" spans="2:15" ht="15" customHeight="1" x14ac:dyDescent="0.2">
      <c r="B24" s="171" t="s">
        <v>291</v>
      </c>
      <c r="C24" s="150" t="s">
        <v>64</v>
      </c>
      <c r="D24" s="29">
        <f>INDEX('Referenčne količine'!$B$16:$G$36,MATCH(B24,('Referenčne količine'!$B$16:$B$36),0),MATCH($D$6,'Referenčne količine'!$B$5:$G$5,0))</f>
        <v>0</v>
      </c>
      <c r="E24" s="102"/>
      <c r="F24" s="102"/>
      <c r="G24" s="102"/>
      <c r="H24" s="104"/>
      <c r="I24" s="105"/>
      <c r="J24" s="106"/>
      <c r="K24" s="172"/>
      <c r="L24" s="102"/>
      <c r="M24" s="102"/>
      <c r="N24" s="102"/>
      <c r="O24" s="102"/>
    </row>
    <row r="25" spans="2:15" ht="15" customHeight="1" thickBot="1" x14ac:dyDescent="0.25">
      <c r="B25" s="204"/>
      <c r="C25" s="217"/>
      <c r="D25" s="541"/>
      <c r="E25" s="102"/>
      <c r="F25" s="102"/>
      <c r="G25" s="102"/>
      <c r="H25" s="104"/>
      <c r="I25" s="105"/>
      <c r="J25" s="106"/>
      <c r="K25" s="172"/>
      <c r="L25" s="102"/>
      <c r="M25" s="102"/>
      <c r="N25" s="102"/>
      <c r="O25" s="102"/>
    </row>
    <row r="26" spans="2:15" ht="15" customHeight="1" x14ac:dyDescent="0.2">
      <c r="B26" s="538" t="s">
        <v>268</v>
      </c>
      <c r="C26" s="486" t="s">
        <v>66</v>
      </c>
      <c r="D26" s="539">
        <f>INDEX('Referenčne količine'!$B$16:$G$36,MATCH(B26,('Referenčne količine'!$B$16:$B$36),0),MATCH($D$6,'Referenčne količine'!$B$5:$G$5,0))</f>
        <v>99.999999999999986</v>
      </c>
      <c r="E26" s="102"/>
      <c r="F26" s="102"/>
      <c r="G26" s="102"/>
      <c r="H26" s="104"/>
      <c r="I26" s="105"/>
      <c r="J26" s="106"/>
      <c r="K26" s="172"/>
      <c r="L26" s="102"/>
      <c r="M26" s="102"/>
      <c r="N26" s="102"/>
      <c r="O26" s="102"/>
    </row>
    <row r="27" spans="2:15" ht="15" customHeight="1" x14ac:dyDescent="0.2">
      <c r="B27" s="171" t="s">
        <v>292</v>
      </c>
      <c r="C27" s="150" t="s">
        <v>66</v>
      </c>
      <c r="D27" s="176">
        <f>INDEX('Referenčne količine'!$B$16:$G$36,MATCH(B27,('Referenčne količine'!$B$16:$B$36),0),MATCH($D$6,'Referenčne količine'!$B$5:$G$5,0))</f>
        <v>142.75289927463839</v>
      </c>
      <c r="E27" s="102"/>
      <c r="F27" s="102"/>
      <c r="G27" s="102"/>
      <c r="H27" s="104"/>
      <c r="I27" s="105"/>
      <c r="J27" s="106"/>
      <c r="K27" s="172"/>
      <c r="L27" s="102"/>
      <c r="M27" s="127"/>
      <c r="N27" s="102"/>
      <c r="O27" s="102"/>
    </row>
    <row r="28" spans="2:15" ht="15" customHeight="1" x14ac:dyDescent="0.2">
      <c r="B28" s="171" t="s">
        <v>67</v>
      </c>
      <c r="C28" s="150" t="s">
        <v>68</v>
      </c>
      <c r="D28" s="177">
        <f>INDEX('Referenčne količine'!$B$16:$G$36,MATCH(B28,('Referenčne količine'!$B$16:$B$36),0),MATCH($D$6,'Referenčne količine'!$B$5:$G$5,0))</f>
        <v>9859.7999999999993</v>
      </c>
      <c r="E28" s="102"/>
      <c r="F28" s="102"/>
      <c r="G28" s="102"/>
      <c r="H28" s="104"/>
      <c r="I28" s="105"/>
      <c r="J28" s="106"/>
      <c r="K28" s="172"/>
      <c r="L28" s="102"/>
      <c r="M28" s="102"/>
      <c r="N28" s="102"/>
      <c r="O28" s="102"/>
    </row>
    <row r="29" spans="2:15" ht="15" customHeight="1" x14ac:dyDescent="0.2">
      <c r="B29" s="171" t="s">
        <v>69</v>
      </c>
      <c r="C29" s="150" t="s">
        <v>68</v>
      </c>
      <c r="D29" s="177">
        <f>INDEX('Referenčne količine'!$B$16:$G$36,MATCH(B29,('Referenčne količine'!$B$16:$B$36),0),MATCH($D$6,'Referenčne količine'!$B$5:$G$5,0))</f>
        <v>0</v>
      </c>
      <c r="E29" s="102"/>
      <c r="F29" s="102"/>
      <c r="G29" s="102"/>
      <c r="H29" s="104"/>
      <c r="I29" s="105"/>
      <c r="J29" s="106"/>
      <c r="K29" s="172"/>
      <c r="L29" s="102"/>
      <c r="M29" s="102"/>
      <c r="N29" s="102"/>
      <c r="O29" s="102"/>
    </row>
    <row r="30" spans="2:15" ht="15" customHeight="1" x14ac:dyDescent="0.2">
      <c r="B30" s="171" t="s">
        <v>277</v>
      </c>
      <c r="C30" s="150" t="s">
        <v>68</v>
      </c>
      <c r="D30" s="177">
        <f>INDEX('Referenčne količine'!$B$16:$G$36,MATCH(B30,('Referenčne količine'!$B$16:$B$36),0),MATCH($D$6,'Referenčne količine'!$B$5:$G$5,0))</f>
        <v>9859.7999999999975</v>
      </c>
      <c r="E30" s="102"/>
      <c r="F30" s="102"/>
      <c r="G30" s="102"/>
      <c r="H30" s="126"/>
      <c r="I30" s="174"/>
      <c r="J30" s="175"/>
      <c r="K30" s="172"/>
      <c r="L30" s="102"/>
      <c r="M30" s="102"/>
      <c r="N30" s="102"/>
      <c r="O30" s="102"/>
    </row>
    <row r="31" spans="2:15" ht="15" customHeight="1" x14ac:dyDescent="0.2">
      <c r="B31" s="10" t="s">
        <v>86</v>
      </c>
      <c r="C31" s="11"/>
      <c r="D31" s="12"/>
      <c r="E31" s="102"/>
      <c r="F31" s="102"/>
      <c r="G31" s="102"/>
      <c r="H31" s="173"/>
      <c r="I31" s="174"/>
      <c r="J31" s="175"/>
      <c r="K31" s="172"/>
      <c r="L31" s="102"/>
      <c r="M31" s="102"/>
      <c r="N31" s="102"/>
      <c r="O31" s="102"/>
    </row>
    <row r="32" spans="2:15" ht="15" customHeight="1" x14ac:dyDescent="0.2">
      <c r="B32" s="178" t="s">
        <v>278</v>
      </c>
      <c r="C32" s="155" t="s">
        <v>64</v>
      </c>
      <c r="D32" s="29">
        <f>INDEX('Referenčne količine'!$B$37:$G$47,MATCH(B32,('Referenčne količine'!$B$37:$B$47),0),MATCH($D$6,'Referenčne količine'!$B$5:$G$5,0))</f>
        <v>60218</v>
      </c>
      <c r="E32" s="102"/>
      <c r="F32" s="102"/>
      <c r="G32" s="102"/>
      <c r="H32" s="173"/>
      <c r="I32" s="174"/>
      <c r="J32" s="175"/>
      <c r="K32" s="172"/>
      <c r="L32" s="102"/>
      <c r="M32" s="102"/>
      <c r="N32" s="102"/>
      <c r="O32" s="102"/>
    </row>
    <row r="33" spans="2:12" ht="15" customHeight="1" x14ac:dyDescent="0.2">
      <c r="B33" s="178" t="s">
        <v>279</v>
      </c>
      <c r="C33" s="155" t="s">
        <v>64</v>
      </c>
      <c r="D33" s="29">
        <f>INDEX('Referenčne količine'!$B$37:$G$47,MATCH(B33,('Referenčne količine'!$B$37:$B$47),0),MATCH($D$6,'Referenčne količine'!$B$5:$G$5,0))</f>
        <v>22220.799999999996</v>
      </c>
      <c r="E33" s="102"/>
      <c r="F33" s="102"/>
      <c r="G33" s="102"/>
      <c r="H33" s="110" t="s">
        <v>87</v>
      </c>
      <c r="I33" s="111"/>
      <c r="J33" s="112"/>
      <c r="K33" s="179">
        <f>SUM(K13:K32)</f>
        <v>0</v>
      </c>
      <c r="L33" s="102"/>
    </row>
    <row r="34" spans="2:12" ht="15" customHeight="1" x14ac:dyDescent="0.2">
      <c r="B34" s="178" t="s">
        <v>280</v>
      </c>
      <c r="C34" s="155" t="s">
        <v>64</v>
      </c>
      <c r="D34" s="29">
        <f>INDEX('Referenčne količine'!$B$37:$G$47,MATCH(B34,('Referenčne količine'!$B$37:$B$47),0),MATCH($D$6,'Referenčne količine'!$B$5:$G$5,0))</f>
        <v>82438.799999999988</v>
      </c>
      <c r="E34" s="102"/>
      <c r="F34" s="102"/>
      <c r="G34" s="102"/>
      <c r="H34" s="110" t="s">
        <v>88</v>
      </c>
      <c r="I34" s="111"/>
      <c r="J34" s="112"/>
      <c r="K34" s="179">
        <f>0.22*K33</f>
        <v>0</v>
      </c>
      <c r="L34" s="102"/>
    </row>
    <row r="35" spans="2:12" ht="18.75" customHeight="1" thickBot="1" x14ac:dyDescent="0.25">
      <c r="B35" s="178" t="s">
        <v>281</v>
      </c>
      <c r="C35" s="155" t="s">
        <v>64</v>
      </c>
      <c r="D35" s="29">
        <f>INDEX('Referenčne količine'!$B$37:$G$47,MATCH(B35,('Referenčne količine'!$B$37:$B$47),0),MATCH($D$6,'Referenčne količine'!$B$5:$G$5,0))</f>
        <v>33775</v>
      </c>
      <c r="E35" s="102"/>
      <c r="F35" s="102"/>
      <c r="G35" s="102"/>
      <c r="H35" s="113" t="s">
        <v>89</v>
      </c>
      <c r="I35" s="114"/>
      <c r="J35" s="115"/>
      <c r="K35" s="180">
        <f>K33+K34</f>
        <v>0</v>
      </c>
      <c r="L35" s="102"/>
    </row>
    <row r="36" spans="2:12" ht="18.75" customHeight="1" x14ac:dyDescent="0.2">
      <c r="B36" s="178" t="s">
        <v>283</v>
      </c>
      <c r="C36" s="155" t="s">
        <v>64</v>
      </c>
      <c r="D36" s="29">
        <f>INDEX('Referenčne količine'!$B$37:$G$47,MATCH(B36,('Referenčne količine'!$B$37:$B$47),0),MATCH($D$6,'Referenčne količine'!$B$5:$G$5,0))</f>
        <v>0</v>
      </c>
      <c r="E36" s="102"/>
      <c r="F36" s="102"/>
      <c r="G36" s="102"/>
      <c r="H36" s="102"/>
      <c r="I36" s="102"/>
      <c r="J36" s="102"/>
      <c r="K36" s="102"/>
      <c r="L36" s="102"/>
    </row>
    <row r="37" spans="2:12" ht="18.75" customHeight="1" x14ac:dyDescent="0.2">
      <c r="B37" s="178" t="s">
        <v>282</v>
      </c>
      <c r="C37" s="155" t="s">
        <v>64</v>
      </c>
      <c r="D37" s="29">
        <f>INDEX('Referenčne količine'!$B$37:$G$47,MATCH(B37,('Referenčne količine'!$B$37:$B$47),0),MATCH($D$6,'Referenčne količine'!$B$5:$G$5,0))</f>
        <v>49896.36</v>
      </c>
      <c r="E37" s="102"/>
      <c r="F37" s="102"/>
      <c r="G37" s="102"/>
      <c r="H37" s="102" t="s">
        <v>90</v>
      </c>
      <c r="I37" s="102"/>
      <c r="J37" s="102"/>
      <c r="K37" s="102"/>
      <c r="L37" s="102"/>
    </row>
    <row r="38" spans="2:12" ht="15" customHeight="1" x14ac:dyDescent="0.2">
      <c r="B38" s="178" t="s">
        <v>293</v>
      </c>
      <c r="C38" s="155" t="s">
        <v>66</v>
      </c>
      <c r="D38" s="176">
        <f>INDEX('Referenčne količine'!$B$37:$G$47,MATCH(B38,('Referenčne količine'!$B$37:$B$47),0),MATCH($D$6,'Referenčne količine'!$B$5:$G$5,0))</f>
        <v>167</v>
      </c>
      <c r="E38" s="102"/>
      <c r="F38" s="102"/>
      <c r="G38" s="102"/>
      <c r="H38" s="102"/>
      <c r="I38" s="102"/>
      <c r="J38" s="102"/>
      <c r="K38" s="102"/>
      <c r="L38" s="102"/>
    </row>
    <row r="39" spans="2:12" ht="15" customHeight="1" x14ac:dyDescent="0.2">
      <c r="B39" s="178" t="s">
        <v>67</v>
      </c>
      <c r="C39" s="155" t="s">
        <v>68</v>
      </c>
      <c r="D39" s="177">
        <f>INDEX('Referenčne količine'!$B$37:$G$47,MATCH(B39,('Referenčne količine'!$B$37:$B$47),0),MATCH($D$6,'Referenčne količine'!$B$5:$G$5,0))</f>
        <v>10056.406000000001</v>
      </c>
      <c r="E39" s="102"/>
      <c r="F39" s="102"/>
      <c r="G39" s="102"/>
      <c r="H39" s="102"/>
      <c r="I39" s="102"/>
      <c r="J39" s="102"/>
      <c r="K39" s="102"/>
      <c r="L39" s="102"/>
    </row>
    <row r="40" spans="2:12" ht="15" customHeight="1" x14ac:dyDescent="0.2">
      <c r="B40" s="178" t="s">
        <v>69</v>
      </c>
      <c r="C40" s="155" t="s">
        <v>68</v>
      </c>
      <c r="D40" s="177">
        <f>INDEX('Referenčne količine'!$B$37:$G$47,MATCH(B40,('Referenčne količine'!$B$37:$B$47),0),MATCH($D$6,'Referenčne količine'!$B$5:$G$5,0))</f>
        <v>3710.873599999999</v>
      </c>
      <c r="E40" s="102"/>
      <c r="F40" s="102"/>
      <c r="G40" s="102"/>
      <c r="H40" s="102"/>
      <c r="I40" s="102"/>
      <c r="J40" s="102"/>
      <c r="K40" s="102"/>
      <c r="L40" s="102"/>
    </row>
    <row r="41" spans="2:12" x14ac:dyDescent="0.2">
      <c r="B41" s="178" t="s">
        <v>70</v>
      </c>
      <c r="C41" s="155" t="s">
        <v>68</v>
      </c>
      <c r="D41" s="177">
        <f>INDEX('Referenčne količine'!$B$37:$G$47,MATCH(B41,('Referenčne količine'!$B$37:$B$47),0),MATCH($D$6,'Referenčne količine'!$B$5:$G$5,0))</f>
        <v>13767.279599999998</v>
      </c>
    </row>
    <row r="42" spans="2:12" x14ac:dyDescent="0.2">
      <c r="B42" s="13" t="s">
        <v>71</v>
      </c>
      <c r="C42" s="14"/>
      <c r="D42" s="15"/>
    </row>
    <row r="43" spans="2:12" x14ac:dyDescent="0.2">
      <c r="B43" s="181" t="s">
        <v>72</v>
      </c>
      <c r="C43" s="159" t="s">
        <v>68</v>
      </c>
      <c r="D43" s="177">
        <f>INDEX('Referenčne količine'!$B$48:$G$49,MATCH(B43,('Referenčne količine'!$B$48:$B$49),0),MATCH($D$6,'Referenčne količine'!$B$5:$G$5,0))</f>
        <v>3783</v>
      </c>
      <c r="E43" s="102"/>
      <c r="F43" s="102"/>
      <c r="G43" s="102"/>
      <c r="H43" s="102"/>
      <c r="I43" s="102"/>
      <c r="J43" s="102"/>
      <c r="K43" s="102"/>
      <c r="L43" s="87"/>
    </row>
    <row r="44" spans="2:12" x14ac:dyDescent="0.2">
      <c r="B44" s="16" t="s">
        <v>73</v>
      </c>
      <c r="C44" s="17"/>
      <c r="D44" s="18"/>
    </row>
    <row r="45" spans="2:12" x14ac:dyDescent="0.2">
      <c r="B45" s="182" t="s">
        <v>74</v>
      </c>
      <c r="C45" s="163" t="s">
        <v>68</v>
      </c>
      <c r="D45" s="177">
        <f>INDEX('Referenčne količine'!$B$50:$G$52,MATCH(B45,('Referenčne količine'!$B$50:$B$52),0),MATCH($D$6,'Referenčne količine'!$B$5:$G$5,0))</f>
        <v>23699.205999999998</v>
      </c>
      <c r="E45" s="102"/>
      <c r="F45" s="102"/>
      <c r="G45" s="102"/>
      <c r="H45" s="102"/>
      <c r="I45" s="102"/>
      <c r="J45" s="102"/>
      <c r="K45" s="102"/>
      <c r="L45" s="102"/>
    </row>
    <row r="46" spans="2:12" ht="13.5" thickBot="1" x14ac:dyDescent="0.25">
      <c r="B46" s="183" t="s">
        <v>284</v>
      </c>
      <c r="C46" s="184" t="s">
        <v>68</v>
      </c>
      <c r="D46" s="185">
        <f>INDEX('Referenčne količine'!$B$50:$G$52,MATCH(B46,('Referenčne količine'!$B$50:$B$52),0),MATCH($D$6,'Referenčne količine'!$B$5:$G$5,0))</f>
        <v>27410.079599999997</v>
      </c>
    </row>
    <row r="47" spans="2:12" x14ac:dyDescent="0.2">
      <c r="E47" s="102"/>
      <c r="F47" s="102"/>
      <c r="G47" s="102"/>
      <c r="H47" s="102"/>
      <c r="I47" s="102"/>
      <c r="J47" s="102"/>
      <c r="K47" s="102"/>
      <c r="L47" s="102"/>
    </row>
    <row r="54" spans="2:16" ht="16.5" thickBot="1" x14ac:dyDescent="0.3">
      <c r="B54" s="39" t="s">
        <v>304</v>
      </c>
      <c r="C54" s="102"/>
      <c r="D54" s="102"/>
      <c r="E54" s="102"/>
      <c r="F54" s="102"/>
      <c r="G54" s="102"/>
      <c r="H54" s="39" t="s">
        <v>91</v>
      </c>
      <c r="I54" s="102"/>
      <c r="J54" s="102"/>
      <c r="K54" s="102"/>
      <c r="L54" s="102"/>
      <c r="M54" s="102"/>
      <c r="N54" s="35"/>
      <c r="O54" s="35"/>
      <c r="P54" s="35"/>
    </row>
    <row r="55" spans="2:16" ht="15" customHeight="1" x14ac:dyDescent="0.25">
      <c r="B55" s="1168" t="s">
        <v>92</v>
      </c>
      <c r="C55" s="1169"/>
      <c r="D55" s="1169"/>
      <c r="E55" s="1170"/>
      <c r="F55" s="102"/>
      <c r="G55" s="102"/>
      <c r="H55" s="1171" t="s">
        <v>93</v>
      </c>
      <c r="I55" s="1172"/>
      <c r="J55" s="1173"/>
      <c r="K55" s="102"/>
      <c r="L55" s="102"/>
      <c r="M55" s="102"/>
      <c r="N55" s="1156"/>
      <c r="O55" s="1156"/>
      <c r="P55" s="1156"/>
    </row>
    <row r="56" spans="2:16" ht="15" customHeight="1" x14ac:dyDescent="0.25">
      <c r="B56" s="187" t="s">
        <v>306</v>
      </c>
      <c r="C56" s="508" t="str">
        <f>D11</f>
        <v>ZP</v>
      </c>
      <c r="D56" s="122" t="s">
        <v>64</v>
      </c>
      <c r="E56" s="29">
        <f>SUM(J83:M83)</f>
        <v>0</v>
      </c>
      <c r="F56" s="102"/>
      <c r="G56" s="102"/>
      <c r="H56" s="25" t="s">
        <v>95</v>
      </c>
      <c r="I56" s="26" t="s">
        <v>96</v>
      </c>
      <c r="J56" s="27" t="s">
        <v>97</v>
      </c>
      <c r="K56" s="102"/>
      <c r="L56" s="102"/>
      <c r="M56" s="102"/>
      <c r="N56" s="35"/>
      <c r="O56" s="35"/>
      <c r="P56" s="35"/>
    </row>
    <row r="57" spans="2:16" ht="15" customHeight="1" x14ac:dyDescent="0.25">
      <c r="B57" s="187" t="s">
        <v>307</v>
      </c>
      <c r="C57" s="508" t="s">
        <v>99</v>
      </c>
      <c r="D57" s="122" t="s">
        <v>64</v>
      </c>
      <c r="E57" s="29">
        <f>SUM(J84:M84)</f>
        <v>0</v>
      </c>
      <c r="F57" s="102"/>
      <c r="G57" s="102"/>
      <c r="H57" s="28">
        <v>1</v>
      </c>
      <c r="I57" s="23">
        <f t="shared" ref="I57:I71" si="0">$E$88</f>
        <v>27410.079599999997</v>
      </c>
      <c r="J57" s="24">
        <f t="shared" ref="J57:J71" si="1">I57/((1+$J$74)^H57)</f>
        <v>26355.845769230767</v>
      </c>
      <c r="K57" s="102"/>
      <c r="L57" s="102"/>
      <c r="M57" s="102"/>
      <c r="N57" s="35"/>
      <c r="O57" s="35"/>
      <c r="P57" s="35"/>
    </row>
    <row r="58" spans="2:16" ht="15" customHeight="1" x14ac:dyDescent="0.25">
      <c r="B58" s="187" t="s">
        <v>308</v>
      </c>
      <c r="C58" s="509" t="s">
        <v>31</v>
      </c>
      <c r="D58" s="122" t="s">
        <v>64</v>
      </c>
      <c r="E58" s="29">
        <f>SUM(J85:M85)</f>
        <v>0</v>
      </c>
      <c r="F58" s="102"/>
      <c r="G58" s="102"/>
      <c r="H58" s="28">
        <v>2</v>
      </c>
      <c r="I58" s="23">
        <f t="shared" si="0"/>
        <v>27410.079599999997</v>
      </c>
      <c r="J58" s="24">
        <f t="shared" si="1"/>
        <v>25342.159393491118</v>
      </c>
      <c r="K58" s="102"/>
      <c r="L58" s="102"/>
      <c r="M58" s="102"/>
      <c r="N58" s="35"/>
      <c r="O58" s="35"/>
      <c r="P58" s="35"/>
    </row>
    <row r="59" spans="2:16" ht="15" customHeight="1" x14ac:dyDescent="0.25">
      <c r="B59" s="527" t="s">
        <v>318</v>
      </c>
      <c r="C59" s="530"/>
      <c r="D59" s="99" t="s">
        <v>64</v>
      </c>
      <c r="E59" s="531">
        <f>SUM(E56:E58)</f>
        <v>0</v>
      </c>
      <c r="F59" s="102"/>
      <c r="G59" s="102"/>
      <c r="H59" s="28">
        <v>3</v>
      </c>
      <c r="I59" s="23">
        <f t="shared" si="0"/>
        <v>27410.079599999997</v>
      </c>
      <c r="J59" s="24">
        <f t="shared" si="1"/>
        <v>24367.460955279923</v>
      </c>
      <c r="K59" s="102"/>
      <c r="L59" s="102"/>
      <c r="M59" s="102"/>
      <c r="N59" s="35"/>
      <c r="O59" s="35"/>
      <c r="P59" s="35"/>
    </row>
    <row r="60" spans="2:16" ht="15" customHeight="1" x14ac:dyDescent="0.25">
      <c r="B60" s="527" t="s">
        <v>322</v>
      </c>
      <c r="C60" s="530"/>
      <c r="D60" s="99" t="s">
        <v>64</v>
      </c>
      <c r="E60" s="531">
        <f>N87</f>
        <v>0</v>
      </c>
      <c r="F60" s="102"/>
      <c r="G60" s="102"/>
      <c r="H60" s="28">
        <v>4</v>
      </c>
      <c r="I60" s="23">
        <f t="shared" si="0"/>
        <v>27410.079599999997</v>
      </c>
      <c r="J60" s="24">
        <f t="shared" si="1"/>
        <v>23430.250918538386</v>
      </c>
      <c r="K60" s="102"/>
      <c r="L60" s="102"/>
      <c r="M60" s="102"/>
      <c r="N60" s="35"/>
      <c r="O60" s="35"/>
      <c r="P60" s="35"/>
    </row>
    <row r="61" spans="2:16" ht="15" customHeight="1" x14ac:dyDescent="0.25">
      <c r="B61" s="187" t="s">
        <v>309</v>
      </c>
      <c r="C61" s="508" t="str">
        <f>C56</f>
        <v>ZP</v>
      </c>
      <c r="D61" s="122" t="s">
        <v>66</v>
      </c>
      <c r="E61" s="186">
        <f>D26</f>
        <v>99.999999999999986</v>
      </c>
      <c r="F61" s="102"/>
      <c r="G61" s="102"/>
      <c r="H61" s="28">
        <v>5</v>
      </c>
      <c r="I61" s="23">
        <f t="shared" si="0"/>
        <v>27410.079599999997</v>
      </c>
      <c r="J61" s="24">
        <f t="shared" si="1"/>
        <v>22529.08742167152</v>
      </c>
      <c r="K61" s="102"/>
      <c r="L61" s="102"/>
      <c r="M61" s="102"/>
      <c r="N61" s="35"/>
      <c r="O61" s="35"/>
      <c r="P61" s="35"/>
    </row>
    <row r="62" spans="2:16" ht="15" customHeight="1" x14ac:dyDescent="0.25">
      <c r="B62" s="187" t="s">
        <v>310</v>
      </c>
      <c r="C62" s="508" t="str">
        <f>C57</f>
        <v>EE za TČ</v>
      </c>
      <c r="D62" s="122" t="s">
        <v>66</v>
      </c>
      <c r="E62" s="186">
        <f>D38</f>
        <v>167</v>
      </c>
      <c r="F62" s="102"/>
      <c r="G62" s="102"/>
      <c r="H62" s="28">
        <v>6</v>
      </c>
      <c r="I62" s="23">
        <f t="shared" si="0"/>
        <v>27410.079599999997</v>
      </c>
      <c r="J62" s="24">
        <f t="shared" si="1"/>
        <v>21662.584059299541</v>
      </c>
      <c r="K62" s="102"/>
      <c r="L62" s="102"/>
      <c r="M62" s="102"/>
      <c r="N62" s="35"/>
      <c r="O62" s="35"/>
      <c r="P62" s="35"/>
    </row>
    <row r="63" spans="2:16" ht="15" customHeight="1" x14ac:dyDescent="0.25">
      <c r="B63" s="187" t="s">
        <v>311</v>
      </c>
      <c r="C63" s="509" t="str">
        <f>C58</f>
        <v>*vpiši</v>
      </c>
      <c r="D63" s="122" t="s">
        <v>66</v>
      </c>
      <c r="E63" s="186">
        <v>0</v>
      </c>
      <c r="F63" s="102"/>
      <c r="G63" s="102"/>
      <c r="H63" s="28">
        <v>7</v>
      </c>
      <c r="I63" s="23">
        <f t="shared" si="0"/>
        <v>27410.079599999997</v>
      </c>
      <c r="J63" s="24">
        <f t="shared" si="1"/>
        <v>20829.407749326481</v>
      </c>
      <c r="K63" s="102"/>
      <c r="L63" s="102"/>
      <c r="M63" s="102"/>
      <c r="N63" s="35"/>
      <c r="O63" s="35"/>
      <c r="P63" s="35"/>
    </row>
    <row r="64" spans="2:16" ht="15" customHeight="1" x14ac:dyDescent="0.25">
      <c r="B64" s="187" t="s">
        <v>292</v>
      </c>
      <c r="C64" s="509"/>
      <c r="D64" s="122" t="s">
        <v>66</v>
      </c>
      <c r="E64" s="186">
        <f>IFERROR(E70/E60*1000,0)</f>
        <v>0</v>
      </c>
      <c r="F64" s="102"/>
      <c r="G64" s="102"/>
      <c r="H64" s="28">
        <v>8</v>
      </c>
      <c r="I64" s="23">
        <f t="shared" si="0"/>
        <v>27410.079599999997</v>
      </c>
      <c r="J64" s="24">
        <f t="shared" si="1"/>
        <v>20028.276682044692</v>
      </c>
      <c r="K64" s="102"/>
      <c r="L64" s="102"/>
      <c r="M64" s="102"/>
      <c r="N64" s="35"/>
      <c r="O64" s="35"/>
      <c r="P64" s="35"/>
    </row>
    <row r="65" spans="2:16" ht="15" customHeight="1" x14ac:dyDescent="0.25">
      <c r="B65" s="187" t="s">
        <v>312</v>
      </c>
      <c r="C65" s="508" t="str">
        <f>C56</f>
        <v>ZP</v>
      </c>
      <c r="D65" s="122" t="s">
        <v>64</v>
      </c>
      <c r="E65" s="30">
        <f>D14-E56</f>
        <v>98598</v>
      </c>
      <c r="F65" s="102"/>
      <c r="G65" s="102"/>
      <c r="H65" s="28">
        <v>9</v>
      </c>
      <c r="I65" s="23">
        <f t="shared" si="0"/>
        <v>27410.079599999997</v>
      </c>
      <c r="J65" s="24">
        <f t="shared" si="1"/>
        <v>19257.958348119893</v>
      </c>
      <c r="K65" s="102"/>
      <c r="L65" s="102"/>
      <c r="M65" s="102"/>
      <c r="N65" s="35"/>
      <c r="O65" s="35"/>
      <c r="P65" s="35"/>
    </row>
    <row r="66" spans="2:16" ht="15" customHeight="1" x14ac:dyDescent="0.25">
      <c r="B66" s="187" t="s">
        <v>313</v>
      </c>
      <c r="C66" s="508" t="str">
        <f>C57</f>
        <v>EE za TČ</v>
      </c>
      <c r="D66" s="122" t="s">
        <v>64</v>
      </c>
      <c r="E66" s="30">
        <f>(-1)*E57</f>
        <v>0</v>
      </c>
      <c r="F66" s="102"/>
      <c r="G66" s="102"/>
      <c r="H66" s="28">
        <v>10</v>
      </c>
      <c r="I66" s="23">
        <f t="shared" si="0"/>
        <v>27410.079599999997</v>
      </c>
      <c r="J66" s="24">
        <f t="shared" si="1"/>
        <v>18517.267642422976</v>
      </c>
      <c r="K66" s="102"/>
      <c r="L66" s="102"/>
      <c r="M66" s="102"/>
      <c r="N66" s="35"/>
      <c r="O66" s="35"/>
      <c r="P66" s="35"/>
    </row>
    <row r="67" spans="2:16" ht="15" customHeight="1" x14ac:dyDescent="0.25">
      <c r="B67" s="187" t="s">
        <v>314</v>
      </c>
      <c r="C67" s="508" t="str">
        <f>C58</f>
        <v>*vpiši</v>
      </c>
      <c r="D67" s="122" t="s">
        <v>64</v>
      </c>
      <c r="E67" s="30">
        <f>(-1)*E58</f>
        <v>0</v>
      </c>
      <c r="F67" s="102"/>
      <c r="G67" s="102"/>
      <c r="H67" s="28">
        <v>11</v>
      </c>
      <c r="I67" s="23">
        <f t="shared" si="0"/>
        <v>27410.079599999997</v>
      </c>
      <c r="J67" s="24">
        <f t="shared" si="1"/>
        <v>17805.065040791324</v>
      </c>
      <c r="K67" s="102"/>
      <c r="L67" s="102"/>
      <c r="M67" s="102"/>
      <c r="N67" s="35"/>
      <c r="O67" s="35"/>
      <c r="P67" s="35"/>
    </row>
    <row r="68" spans="2:16" ht="15" customHeight="1" x14ac:dyDescent="0.25">
      <c r="B68" s="527" t="s">
        <v>317</v>
      </c>
      <c r="C68" s="528"/>
      <c r="D68" s="99" t="s">
        <v>64</v>
      </c>
      <c r="E68" s="529">
        <f>SUM(E65:E67)</f>
        <v>98598</v>
      </c>
      <c r="F68" s="102"/>
      <c r="G68" s="102"/>
      <c r="H68" s="28">
        <v>12</v>
      </c>
      <c r="I68" s="23">
        <f t="shared" si="0"/>
        <v>27410.079599999997</v>
      </c>
      <c r="J68" s="24">
        <f t="shared" si="1"/>
        <v>17120.25484691473</v>
      </c>
      <c r="K68" s="102"/>
      <c r="L68" s="102"/>
      <c r="M68" s="102"/>
      <c r="N68" s="35"/>
      <c r="O68" s="35"/>
      <c r="P68" s="35"/>
    </row>
    <row r="69" spans="2:16" ht="15" customHeight="1" x14ac:dyDescent="0.25">
      <c r="B69" s="527" t="s">
        <v>323</v>
      </c>
      <c r="C69" s="528"/>
      <c r="D69" s="99" t="s">
        <v>64</v>
      </c>
      <c r="E69" s="529">
        <f>D21-E60</f>
        <v>69069</v>
      </c>
      <c r="F69" s="102"/>
      <c r="G69" s="102"/>
      <c r="H69" s="28">
        <v>13</v>
      </c>
      <c r="I69" s="23">
        <f t="shared" si="0"/>
        <v>27410.079599999997</v>
      </c>
      <c r="J69" s="24">
        <f t="shared" si="1"/>
        <v>16461.783506648779</v>
      </c>
      <c r="K69" s="102"/>
      <c r="L69" s="102"/>
      <c r="M69" s="102"/>
      <c r="N69" s="35"/>
      <c r="O69" s="35"/>
      <c r="P69" s="35"/>
    </row>
    <row r="70" spans="2:16" ht="15" customHeight="1" x14ac:dyDescent="0.25">
      <c r="B70" s="187" t="s">
        <v>315</v>
      </c>
      <c r="C70" s="188"/>
      <c r="D70" s="122" t="s">
        <v>68</v>
      </c>
      <c r="E70" s="179">
        <f>(E56*E61+E57*E62+E58*E63)/1000</f>
        <v>0</v>
      </c>
      <c r="F70" s="102"/>
      <c r="G70" s="102"/>
      <c r="H70" s="28">
        <v>14</v>
      </c>
      <c r="I70" s="23">
        <f t="shared" si="0"/>
        <v>27410.079599999997</v>
      </c>
      <c r="J70" s="24">
        <f t="shared" si="1"/>
        <v>15828.637987162287</v>
      </c>
      <c r="K70" s="102"/>
      <c r="L70" s="102"/>
      <c r="M70" s="102"/>
      <c r="N70" s="35"/>
      <c r="O70" s="35"/>
      <c r="P70" s="35"/>
    </row>
    <row r="71" spans="2:16" ht="15" customHeight="1" x14ac:dyDescent="0.25">
      <c r="B71" s="527" t="s">
        <v>101</v>
      </c>
      <c r="C71" s="532"/>
      <c r="D71" s="99" t="s">
        <v>68</v>
      </c>
      <c r="E71" s="65">
        <f>D30-E70</f>
        <v>9859.7999999999975</v>
      </c>
      <c r="F71" s="779"/>
      <c r="G71" s="102"/>
      <c r="H71" s="28">
        <v>15</v>
      </c>
      <c r="I71" s="23">
        <f t="shared" si="0"/>
        <v>27410.079599999997</v>
      </c>
      <c r="J71" s="24">
        <f t="shared" si="1"/>
        <v>15219.844218425276</v>
      </c>
      <c r="K71" s="102"/>
      <c r="L71" s="1088"/>
      <c r="M71" s="102"/>
      <c r="N71" s="1156"/>
      <c r="O71" s="1156"/>
      <c r="P71" s="35"/>
    </row>
    <row r="72" spans="2:16" ht="15" customHeight="1" thickBot="1" x14ac:dyDescent="0.3">
      <c r="B72" s="189" t="s">
        <v>108</v>
      </c>
      <c r="C72" s="190"/>
      <c r="D72" s="191" t="s">
        <v>102</v>
      </c>
      <c r="E72" s="192">
        <f>E71/D30</f>
        <v>1</v>
      </c>
      <c r="F72" s="102"/>
      <c r="G72" s="102"/>
      <c r="H72" s="1174" t="s">
        <v>105</v>
      </c>
      <c r="I72" s="1175"/>
      <c r="J72" s="52">
        <f>SUM(J57:J71)</f>
        <v>304755.88453936769</v>
      </c>
      <c r="K72" s="102"/>
      <c r="L72" s="102"/>
      <c r="M72" s="102"/>
      <c r="N72" s="1156"/>
      <c r="O72" s="1156"/>
      <c r="P72" s="1156"/>
    </row>
    <row r="73" spans="2:16" ht="15" customHeight="1" thickBot="1" x14ac:dyDescent="0.3">
      <c r="B73" s="193"/>
      <c r="C73" s="193"/>
      <c r="D73" s="193"/>
      <c r="E73" s="193"/>
      <c r="F73" s="102"/>
      <c r="G73" s="102"/>
      <c r="H73" s="1176"/>
      <c r="I73" s="1177"/>
      <c r="J73" s="1178"/>
      <c r="K73" s="102"/>
      <c r="L73" s="102"/>
      <c r="M73" s="102"/>
      <c r="N73" s="35"/>
      <c r="O73" s="35"/>
      <c r="P73" s="35"/>
    </row>
    <row r="74" spans="2:16" ht="15" customHeight="1" thickBot="1" x14ac:dyDescent="0.3">
      <c r="B74" s="517" t="s">
        <v>103</v>
      </c>
      <c r="C74" s="518"/>
      <c r="D74" s="518"/>
      <c r="E74" s="519"/>
      <c r="F74" s="102"/>
      <c r="G74" s="102"/>
      <c r="H74" s="196" t="s">
        <v>107</v>
      </c>
      <c r="I74" s="197"/>
      <c r="J74" s="198">
        <v>0.04</v>
      </c>
      <c r="K74" s="102"/>
      <c r="L74" s="102"/>
      <c r="M74" s="102"/>
      <c r="N74" s="35"/>
      <c r="O74" s="35"/>
      <c r="P74" s="35"/>
    </row>
    <row r="75" spans="2:16" ht="15" customHeight="1" x14ac:dyDescent="0.25">
      <c r="B75" s="194" t="s">
        <v>316</v>
      </c>
      <c r="C75" s="195" t="s">
        <v>43</v>
      </c>
      <c r="D75" s="195" t="s">
        <v>64</v>
      </c>
      <c r="E75" s="30">
        <f>SUM(I90:K90)</f>
        <v>0</v>
      </c>
      <c r="F75" s="102"/>
      <c r="G75" s="102"/>
      <c r="H75" s="102"/>
      <c r="I75" s="102"/>
      <c r="J75" s="102"/>
      <c r="K75" s="102"/>
      <c r="L75" s="102"/>
      <c r="M75" s="102"/>
      <c r="N75" s="35"/>
      <c r="O75" s="35"/>
      <c r="P75" s="35"/>
    </row>
    <row r="76" spans="2:16" ht="15" x14ac:dyDescent="0.25">
      <c r="B76" s="194" t="s">
        <v>65</v>
      </c>
      <c r="C76" s="195" t="str">
        <f>C75</f>
        <v>EE</v>
      </c>
      <c r="D76" s="195" t="s">
        <v>66</v>
      </c>
      <c r="E76" s="186">
        <f>D38</f>
        <v>167</v>
      </c>
      <c r="F76" s="102"/>
      <c r="G76" s="102"/>
      <c r="H76" s="102"/>
      <c r="I76" s="102"/>
      <c r="J76" s="102"/>
      <c r="K76" s="102"/>
      <c r="L76" s="102"/>
      <c r="M76" s="102"/>
      <c r="N76" s="35"/>
      <c r="O76" s="35"/>
      <c r="P76" s="35"/>
    </row>
    <row r="77" spans="2:16" ht="15" customHeight="1" x14ac:dyDescent="0.25">
      <c r="B77" s="194" t="s">
        <v>104</v>
      </c>
      <c r="C77" s="195" t="str">
        <f>C75</f>
        <v>EE</v>
      </c>
      <c r="D77" s="195" t="s">
        <v>64</v>
      </c>
      <c r="E77" s="30">
        <f>D34-E75</f>
        <v>82438.799999999988</v>
      </c>
      <c r="F77" s="102"/>
      <c r="G77" s="102"/>
      <c r="H77" s="102"/>
      <c r="I77" s="102"/>
      <c r="J77" s="102"/>
      <c r="K77" s="102"/>
      <c r="L77" s="102"/>
      <c r="M77" s="102"/>
      <c r="N77" s="35"/>
      <c r="O77" s="35"/>
      <c r="P77" s="35"/>
    </row>
    <row r="78" spans="2:16" ht="30" customHeight="1" x14ac:dyDescent="0.25">
      <c r="B78" s="194" t="s">
        <v>106</v>
      </c>
      <c r="C78" s="195" t="s">
        <v>43</v>
      </c>
      <c r="D78" s="195" t="s">
        <v>68</v>
      </c>
      <c r="E78" s="179">
        <f>E75*E76/1000</f>
        <v>0</v>
      </c>
      <c r="F78" s="102"/>
      <c r="G78" s="102"/>
      <c r="H78" s="102"/>
      <c r="O78" s="35"/>
      <c r="P78" s="35"/>
    </row>
    <row r="79" spans="2:16" ht="30" customHeight="1" x14ac:dyDescent="0.25">
      <c r="B79" s="194" t="s">
        <v>101</v>
      </c>
      <c r="C79" s="195" t="str">
        <f>C78</f>
        <v>EE</v>
      </c>
      <c r="D79" s="195" t="s">
        <v>68</v>
      </c>
      <c r="E79" s="179">
        <f>D41-E78</f>
        <v>13767.279599999998</v>
      </c>
      <c r="F79" s="102"/>
      <c r="G79" s="102"/>
      <c r="H79" s="102"/>
      <c r="I79" s="102"/>
      <c r="J79" s="102"/>
      <c r="K79" s="102"/>
      <c r="L79" s="102"/>
      <c r="M79" s="102"/>
      <c r="N79" s="1156"/>
      <c r="O79" s="1156"/>
      <c r="P79" s="1156"/>
    </row>
    <row r="80" spans="2:16" ht="30" customHeight="1" thickBot="1" x14ac:dyDescent="0.3">
      <c r="B80" s="199" t="s">
        <v>108</v>
      </c>
      <c r="C80" s="200" t="str">
        <f>C78</f>
        <v>EE</v>
      </c>
      <c r="D80" s="200" t="s">
        <v>102</v>
      </c>
      <c r="E80" s="192">
        <f>E79/D41</f>
        <v>1</v>
      </c>
      <c r="F80" s="102"/>
      <c r="G80" s="102"/>
      <c r="H80" s="39" t="s">
        <v>294</v>
      </c>
      <c r="N80" s="35"/>
      <c r="O80" s="35"/>
      <c r="P80" s="35"/>
    </row>
    <row r="81" spans="2:16" ht="15.75" thickBot="1" x14ac:dyDescent="0.3">
      <c r="B81" s="193"/>
      <c r="C81" s="193"/>
      <c r="D81" s="193"/>
      <c r="E81" s="193"/>
      <c r="F81" s="102"/>
      <c r="G81" s="102"/>
      <c r="H81" s="102" t="s">
        <v>333</v>
      </c>
      <c r="I81" s="102"/>
      <c r="J81" s="102"/>
      <c r="K81" s="102"/>
      <c r="L81" s="102"/>
      <c r="M81" s="102"/>
      <c r="N81" s="35"/>
      <c r="O81" s="35"/>
      <c r="P81" s="35"/>
    </row>
    <row r="82" spans="2:16" ht="15.75" thickBot="1" x14ac:dyDescent="0.3">
      <c r="B82" s="520" t="s">
        <v>71</v>
      </c>
      <c r="C82" s="521"/>
      <c r="D82" s="521"/>
      <c r="E82" s="522"/>
      <c r="F82" s="102"/>
      <c r="G82" s="102"/>
      <c r="H82" s="504" t="s">
        <v>332</v>
      </c>
      <c r="I82" s="501" t="s">
        <v>63</v>
      </c>
      <c r="J82" s="501" t="s">
        <v>113</v>
      </c>
      <c r="K82" s="501" t="s">
        <v>114</v>
      </c>
      <c r="L82" s="501" t="s">
        <v>115</v>
      </c>
      <c r="M82" s="1087" t="s">
        <v>382</v>
      </c>
      <c r="N82" s="745" t="s">
        <v>296</v>
      </c>
      <c r="O82" s="35"/>
      <c r="P82" s="35"/>
    </row>
    <row r="83" spans="2:16" ht="23.25" customHeight="1" x14ac:dyDescent="0.25">
      <c r="B83" s="513" t="s">
        <v>109</v>
      </c>
      <c r="C83" s="514"/>
      <c r="D83" s="201" t="s">
        <v>68</v>
      </c>
      <c r="E83" s="744">
        <v>0</v>
      </c>
      <c r="F83" s="102"/>
      <c r="G83" s="102"/>
      <c r="H83" s="487" t="s">
        <v>94</v>
      </c>
      <c r="I83" s="526" t="s">
        <v>37</v>
      </c>
      <c r="J83" s="1063"/>
      <c r="K83" s="1063"/>
      <c r="L83" s="1063"/>
      <c r="M83" s="1064"/>
      <c r="N83" s="767">
        <f>SUM(J83:M83)</f>
        <v>0</v>
      </c>
      <c r="O83" s="35"/>
      <c r="P83" s="35"/>
    </row>
    <row r="84" spans="2:16" ht="15" customHeight="1" x14ac:dyDescent="0.25">
      <c r="B84" s="513" t="s">
        <v>110</v>
      </c>
      <c r="C84" s="514"/>
      <c r="D84" s="201" t="s">
        <v>68</v>
      </c>
      <c r="E84" s="179">
        <f>D43-E83</f>
        <v>3783</v>
      </c>
      <c r="F84" s="102"/>
      <c r="G84" s="102"/>
      <c r="H84" s="171" t="s">
        <v>98</v>
      </c>
      <c r="I84" s="1066" t="s">
        <v>99</v>
      </c>
      <c r="J84" s="1063"/>
      <c r="K84" s="1063"/>
      <c r="L84" s="1063"/>
      <c r="M84" s="1064"/>
      <c r="N84" s="1065">
        <f>SUM(J84:M84)</f>
        <v>0</v>
      </c>
      <c r="O84" s="35"/>
      <c r="P84" s="35"/>
    </row>
    <row r="85" spans="2:16" ht="27" thickBot="1" x14ac:dyDescent="0.3">
      <c r="B85" s="515" t="s">
        <v>111</v>
      </c>
      <c r="C85" s="516"/>
      <c r="D85" s="202" t="s">
        <v>102</v>
      </c>
      <c r="E85" s="192">
        <f>E84/D43</f>
        <v>1</v>
      </c>
      <c r="F85" s="102"/>
      <c r="G85" s="102"/>
      <c r="H85" s="204" t="s">
        <v>100</v>
      </c>
      <c r="I85" s="533"/>
      <c r="J85" s="775"/>
      <c r="K85" s="775"/>
      <c r="L85" s="775"/>
      <c r="M85" s="716"/>
      <c r="N85" s="510"/>
      <c r="O85" s="35"/>
      <c r="P85" s="35"/>
    </row>
    <row r="86" spans="2:16" ht="15.75" thickBot="1" x14ac:dyDescent="0.3">
      <c r="B86" s="193"/>
      <c r="C86" s="193"/>
      <c r="D86" s="193"/>
      <c r="E86" s="193"/>
      <c r="F86" s="102"/>
      <c r="G86" s="102"/>
      <c r="H86" s="768" t="s">
        <v>397</v>
      </c>
      <c r="I86" s="769"/>
      <c r="J86" s="770">
        <f>SUM(J83:J85)</f>
        <v>0</v>
      </c>
      <c r="K86" s="770">
        <f>SUM(K83:K85)</f>
        <v>0</v>
      </c>
      <c r="L86" s="770">
        <f>SUM(L84:L85)</f>
        <v>0</v>
      </c>
      <c r="M86" s="770">
        <f>SUM(M84:M85)</f>
        <v>0</v>
      </c>
      <c r="N86" s="770">
        <f>SUM(N83:N85)</f>
        <v>0</v>
      </c>
      <c r="O86" s="35"/>
      <c r="P86" s="35"/>
    </row>
    <row r="87" spans="2:16" ht="25.5" customHeight="1" thickBot="1" x14ac:dyDescent="0.3">
      <c r="B87" s="523" t="s">
        <v>112</v>
      </c>
      <c r="C87" s="524"/>
      <c r="D87" s="524"/>
      <c r="E87" s="525"/>
      <c r="F87" s="102"/>
      <c r="G87" s="102"/>
      <c r="H87" s="506" t="s">
        <v>390</v>
      </c>
      <c r="I87" s="766" t="s">
        <v>62</v>
      </c>
      <c r="J87" s="776"/>
      <c r="K87" s="776"/>
      <c r="L87" s="776"/>
      <c r="M87" s="777"/>
      <c r="N87" s="511">
        <f>J87+K87+L87+M87</f>
        <v>0</v>
      </c>
      <c r="O87" s="35"/>
      <c r="P87" s="35"/>
    </row>
    <row r="88" spans="2:16" ht="15" customHeight="1" thickBot="1" x14ac:dyDescent="0.3">
      <c r="B88" s="64" t="s">
        <v>116</v>
      </c>
      <c r="C88" s="63"/>
      <c r="D88" s="21" t="s">
        <v>68</v>
      </c>
      <c r="E88" s="65">
        <f>E71+E79+E84</f>
        <v>27410.079599999997</v>
      </c>
      <c r="F88" s="102"/>
      <c r="G88" s="102"/>
      <c r="N88" s="35"/>
      <c r="O88" s="35"/>
      <c r="P88" s="35"/>
    </row>
    <row r="89" spans="2:16" ht="15" customHeight="1" x14ac:dyDescent="0.25">
      <c r="B89" s="59" t="s">
        <v>117</v>
      </c>
      <c r="C89" s="60"/>
      <c r="D89" s="21" t="s">
        <v>102</v>
      </c>
      <c r="E89" s="98">
        <f>E88/D46</f>
        <v>1</v>
      </c>
      <c r="F89" s="102"/>
      <c r="G89" s="102"/>
      <c r="H89" s="20" t="s">
        <v>119</v>
      </c>
      <c r="I89" s="205" t="s">
        <v>120</v>
      </c>
      <c r="J89" s="205" t="s">
        <v>300</v>
      </c>
      <c r="K89" s="206" t="s">
        <v>240</v>
      </c>
      <c r="L89" s="206" t="s">
        <v>296</v>
      </c>
      <c r="N89" s="35"/>
      <c r="O89" s="35"/>
      <c r="P89" s="35"/>
    </row>
    <row r="90" spans="2:16" ht="15" customHeight="1" thickBot="1" x14ac:dyDescent="0.3">
      <c r="B90" s="61" t="s">
        <v>118</v>
      </c>
      <c r="C90" s="62"/>
      <c r="D90" s="22" t="s">
        <v>68</v>
      </c>
      <c r="E90" s="31">
        <f>J72</f>
        <v>304755.88453936769</v>
      </c>
      <c r="F90" s="102"/>
      <c r="G90" s="102"/>
      <c r="H90" s="207" t="s">
        <v>43</v>
      </c>
      <c r="I90" s="124"/>
      <c r="J90" s="124"/>
      <c r="K90" s="125"/>
      <c r="L90" s="512">
        <f>I90+J90+K90</f>
        <v>0</v>
      </c>
      <c r="M90" s="35"/>
      <c r="N90" s="35"/>
      <c r="O90" s="534"/>
      <c r="P90" s="35"/>
    </row>
    <row r="91" spans="2:16" ht="15" customHeight="1" x14ac:dyDescent="0.25">
      <c r="B91" s="102"/>
      <c r="C91" s="102"/>
      <c r="D91" s="102"/>
      <c r="E91" s="102"/>
      <c r="F91" s="102"/>
      <c r="G91" s="102"/>
      <c r="H91" s="35"/>
      <c r="I91" s="35"/>
      <c r="J91" s="35"/>
      <c r="K91" s="35"/>
      <c r="L91" s="35"/>
      <c r="M91" s="35"/>
      <c r="N91" s="35"/>
      <c r="O91" s="35"/>
      <c r="P91" s="35"/>
    </row>
    <row r="92" spans="2:16" ht="15" x14ac:dyDescent="0.25">
      <c r="B92" s="102"/>
      <c r="C92" s="102"/>
      <c r="D92" s="102"/>
      <c r="E92" s="102"/>
      <c r="F92" s="102"/>
      <c r="G92" s="102"/>
      <c r="H92" s="102"/>
      <c r="I92" s="102"/>
      <c r="J92" s="102"/>
      <c r="K92" s="102"/>
      <c r="L92" s="102"/>
      <c r="M92" s="102"/>
      <c r="N92" s="35"/>
      <c r="O92" s="35"/>
      <c r="P92" s="35"/>
    </row>
    <row r="93" spans="2:16" ht="25.5" customHeight="1" x14ac:dyDescent="0.25">
      <c r="B93" s="102"/>
      <c r="C93" s="102"/>
      <c r="D93" s="102"/>
      <c r="E93" s="102"/>
      <c r="F93" s="102"/>
      <c r="G93" s="102"/>
      <c r="H93" s="102"/>
      <c r="I93" s="102"/>
      <c r="J93" s="102"/>
      <c r="K93" s="102"/>
      <c r="L93" s="102"/>
      <c r="M93" s="102"/>
      <c r="N93" s="35"/>
      <c r="O93" s="35"/>
      <c r="P93" s="35"/>
    </row>
    <row r="94" spans="2:16" ht="15" x14ac:dyDescent="0.25">
      <c r="B94" s="102"/>
      <c r="C94" s="102"/>
      <c r="D94" s="102"/>
      <c r="E94" s="102"/>
      <c r="F94" s="102"/>
      <c r="G94" s="102"/>
      <c r="H94" s="102"/>
      <c r="I94" s="102"/>
      <c r="J94" s="102"/>
      <c r="K94" s="102"/>
      <c r="L94" s="102"/>
      <c r="M94" s="102"/>
      <c r="N94" s="35"/>
      <c r="O94" s="35"/>
      <c r="P94" s="35"/>
    </row>
    <row r="95" spans="2:16" ht="15" x14ac:dyDescent="0.25">
      <c r="B95" s="102"/>
      <c r="C95" s="102"/>
      <c r="D95" s="102"/>
      <c r="E95" s="102"/>
      <c r="F95" s="102"/>
      <c r="G95" s="102"/>
      <c r="H95" s="102"/>
      <c r="I95" s="102"/>
      <c r="J95" s="102"/>
      <c r="K95" s="102"/>
      <c r="L95" s="102"/>
      <c r="M95" s="102"/>
      <c r="N95" s="35"/>
      <c r="O95" s="35"/>
      <c r="P95" s="35"/>
    </row>
    <row r="96" spans="2:16" ht="15" x14ac:dyDescent="0.25">
      <c r="B96" s="102"/>
      <c r="C96" s="102"/>
      <c r="D96" s="102"/>
      <c r="E96" s="102"/>
      <c r="F96" s="102"/>
      <c r="G96" s="102"/>
      <c r="H96" s="102"/>
      <c r="I96" s="102"/>
      <c r="J96" s="102"/>
      <c r="K96" s="102"/>
      <c r="L96" s="102"/>
      <c r="M96" s="102"/>
      <c r="N96" s="35"/>
      <c r="O96" s="35"/>
      <c r="P96" s="35"/>
    </row>
    <row r="97" spans="2:16" ht="15" x14ac:dyDescent="0.25">
      <c r="B97" s="102"/>
      <c r="C97" s="102"/>
      <c r="D97" s="102"/>
      <c r="E97" s="102"/>
      <c r="F97" s="102"/>
      <c r="G97" s="102"/>
      <c r="H97" s="102"/>
      <c r="I97" s="102"/>
      <c r="J97" s="102"/>
      <c r="K97" s="102"/>
      <c r="L97" s="102"/>
      <c r="M97" s="102"/>
      <c r="N97" s="1156"/>
      <c r="O97" s="1156"/>
      <c r="P97" s="35"/>
    </row>
    <row r="98" spans="2:16" ht="15" x14ac:dyDescent="0.25">
      <c r="B98" s="102"/>
      <c r="C98" s="102"/>
      <c r="D98" s="102"/>
      <c r="E98" s="102"/>
      <c r="F98" s="102"/>
      <c r="G98" s="102"/>
      <c r="H98" s="102"/>
      <c r="I98" s="102"/>
      <c r="J98" s="102"/>
      <c r="K98" s="102"/>
      <c r="L98" s="102"/>
      <c r="M98" s="102"/>
      <c r="N98" s="1156"/>
      <c r="O98" s="1156"/>
      <c r="P98" s="1156"/>
    </row>
    <row r="99" spans="2:16" ht="15" x14ac:dyDescent="0.25">
      <c r="B99" s="102"/>
      <c r="C99" s="102"/>
      <c r="D99" s="102"/>
      <c r="E99" s="102"/>
      <c r="F99" s="102"/>
      <c r="G99" s="102"/>
      <c r="H99" s="102"/>
      <c r="I99" s="102"/>
      <c r="J99" s="102"/>
      <c r="K99" s="102"/>
      <c r="L99" s="102"/>
      <c r="M99" s="102"/>
      <c r="N99" s="35"/>
      <c r="O99" s="35"/>
      <c r="P99" s="35"/>
    </row>
    <row r="100" spans="2:16" ht="15.75" x14ac:dyDescent="0.25">
      <c r="B100" s="39" t="s">
        <v>305</v>
      </c>
      <c r="C100" s="102"/>
      <c r="D100" s="542"/>
      <c r="E100" s="102"/>
      <c r="F100" s="102"/>
      <c r="G100" s="102"/>
      <c r="H100" s="102"/>
      <c r="I100" s="102"/>
      <c r="J100" s="102"/>
      <c r="K100" s="102"/>
      <c r="L100" s="102"/>
      <c r="M100" s="102"/>
      <c r="N100" s="35"/>
      <c r="O100" s="35"/>
      <c r="P100" s="35"/>
    </row>
    <row r="101" spans="2:16" ht="15.75" x14ac:dyDescent="0.25">
      <c r="B101" s="39"/>
      <c r="C101" s="102"/>
      <c r="D101" s="102"/>
      <c r="E101" s="102"/>
      <c r="F101" s="102"/>
      <c r="G101" s="102"/>
      <c r="H101" s="102"/>
      <c r="I101" s="102"/>
      <c r="J101" s="102"/>
      <c r="K101" s="102"/>
      <c r="L101" s="102"/>
      <c r="M101" s="102"/>
      <c r="N101" s="35"/>
      <c r="O101" s="35"/>
      <c r="P101" s="35"/>
    </row>
    <row r="102" spans="2:16" ht="16.5" thickBot="1" x14ac:dyDescent="0.3">
      <c r="B102" s="603" t="s">
        <v>295</v>
      </c>
      <c r="C102" s="102"/>
      <c r="D102" s="102"/>
      <c r="E102" s="102"/>
      <c r="F102" s="102"/>
      <c r="G102" s="102"/>
      <c r="H102" s="102"/>
      <c r="I102" s="102"/>
      <c r="J102" s="102"/>
      <c r="K102" s="102"/>
      <c r="L102" s="102"/>
      <c r="M102" s="102"/>
      <c r="N102" s="35"/>
      <c r="O102" s="35"/>
      <c r="P102" s="35"/>
    </row>
    <row r="103" spans="2:16" ht="38.25" x14ac:dyDescent="0.25">
      <c r="B103" s="604" t="s">
        <v>302</v>
      </c>
      <c r="C103" s="605" t="s">
        <v>437</v>
      </c>
      <c r="D103" s="605" t="s">
        <v>122</v>
      </c>
      <c r="E103" s="606" t="s">
        <v>297</v>
      </c>
      <c r="F103" s="606" t="s">
        <v>298</v>
      </c>
      <c r="G103" s="102"/>
      <c r="H103" s="102"/>
      <c r="I103" s="102"/>
      <c r="J103" s="102"/>
      <c r="K103" s="102"/>
      <c r="L103" s="102"/>
      <c r="M103" s="102"/>
      <c r="N103" s="35"/>
      <c r="O103" s="35"/>
      <c r="P103" s="35"/>
    </row>
    <row r="104" spans="2:16" ht="15" x14ac:dyDescent="0.25">
      <c r="B104" s="607" t="s">
        <v>295</v>
      </c>
      <c r="C104" s="608">
        <v>0</v>
      </c>
      <c r="D104" s="609">
        <v>3000</v>
      </c>
      <c r="E104" s="610">
        <f>C104*D104</f>
        <v>0</v>
      </c>
      <c r="F104" s="610">
        <f>E104*$D$12/$D$19</f>
        <v>0</v>
      </c>
      <c r="G104" s="102"/>
      <c r="H104" s="102"/>
      <c r="I104" s="102"/>
      <c r="J104" s="102"/>
      <c r="K104" s="102"/>
      <c r="L104" s="102"/>
      <c r="M104" s="102"/>
      <c r="N104" s="35"/>
      <c r="O104" s="35"/>
      <c r="P104" s="35"/>
    </row>
    <row r="105" spans="2:16" ht="15" x14ac:dyDescent="0.25">
      <c r="B105" s="607"/>
      <c r="C105" s="611"/>
      <c r="D105" s="609"/>
      <c r="E105" s="610"/>
      <c r="F105" s="610"/>
      <c r="G105" s="102"/>
      <c r="H105" s="102"/>
      <c r="I105" s="102"/>
      <c r="J105" s="102"/>
      <c r="K105" s="102"/>
      <c r="L105" s="102"/>
      <c r="M105" s="102"/>
      <c r="N105" s="35"/>
      <c r="O105" s="35"/>
      <c r="P105" s="35"/>
    </row>
    <row r="106" spans="2:16" ht="38.25" x14ac:dyDescent="0.25">
      <c r="B106" s="612" t="s">
        <v>299</v>
      </c>
      <c r="C106" s="148" t="s">
        <v>437</v>
      </c>
      <c r="D106" s="148" t="s">
        <v>122</v>
      </c>
      <c r="E106" s="613" t="s">
        <v>297</v>
      </c>
      <c r="F106" s="613" t="s">
        <v>298</v>
      </c>
      <c r="G106" s="102"/>
      <c r="H106" s="102"/>
      <c r="I106" s="102"/>
      <c r="J106" s="102"/>
      <c r="K106" s="102"/>
      <c r="L106" s="544"/>
      <c r="M106" s="545"/>
      <c r="N106" s="35"/>
      <c r="O106" s="35"/>
      <c r="P106" s="35"/>
    </row>
    <row r="107" spans="2:16" ht="15" x14ac:dyDescent="0.25">
      <c r="B107" s="607" t="s">
        <v>295</v>
      </c>
      <c r="C107" s="608">
        <v>0</v>
      </c>
      <c r="D107" s="609">
        <v>3000</v>
      </c>
      <c r="E107" s="610">
        <f>C107*D107</f>
        <v>0</v>
      </c>
      <c r="F107" s="610">
        <f>$L$83+$L$84</f>
        <v>0</v>
      </c>
      <c r="G107" s="102"/>
      <c r="H107" s="614"/>
      <c r="I107" s="535"/>
      <c r="J107" s="102"/>
      <c r="K107" s="102"/>
      <c r="L107" s="543"/>
      <c r="M107" s="102"/>
      <c r="N107" s="35"/>
      <c r="O107" s="35"/>
      <c r="P107" s="35"/>
    </row>
    <row r="108" spans="2:16" ht="15" x14ac:dyDescent="0.25">
      <c r="B108" s="607"/>
      <c r="C108" s="611"/>
      <c r="D108" s="609"/>
      <c r="E108" s="610"/>
      <c r="F108" s="610"/>
      <c r="G108" s="102"/>
      <c r="H108" s="102"/>
      <c r="I108" s="102"/>
      <c r="J108" s="102"/>
      <c r="K108" s="102"/>
      <c r="L108" s="102"/>
      <c r="M108" s="102"/>
      <c r="N108" s="35"/>
      <c r="O108" s="35"/>
      <c r="P108" s="35"/>
    </row>
    <row r="109" spans="2:16" ht="51" x14ac:dyDescent="0.25">
      <c r="B109" s="612" t="s">
        <v>96</v>
      </c>
      <c r="C109" s="1157"/>
      <c r="D109" s="1158"/>
      <c r="E109" s="613" t="s">
        <v>319</v>
      </c>
      <c r="F109" s="613" t="s">
        <v>320</v>
      </c>
      <c r="G109" s="102"/>
      <c r="H109" s="102"/>
      <c r="I109" s="102"/>
      <c r="J109" s="102"/>
      <c r="K109" s="102"/>
      <c r="L109" s="102"/>
      <c r="M109" s="102"/>
      <c r="N109" s="35"/>
      <c r="O109" s="35"/>
      <c r="P109" s="35"/>
    </row>
    <row r="110" spans="2:16" ht="15" x14ac:dyDescent="0.25">
      <c r="B110" s="607" t="s">
        <v>295</v>
      </c>
      <c r="C110" s="1159"/>
      <c r="D110" s="1160"/>
      <c r="E110" s="610">
        <f>E104-E107</f>
        <v>0</v>
      </c>
      <c r="F110" s="610">
        <f>F104-F107</f>
        <v>0</v>
      </c>
      <c r="G110" s="102"/>
      <c r="H110" s="102"/>
      <c r="I110" s="102"/>
      <c r="J110" s="102"/>
      <c r="K110" s="102"/>
      <c r="L110" s="102"/>
      <c r="M110" s="102"/>
      <c r="N110" s="35"/>
      <c r="O110" s="35"/>
      <c r="P110" s="35"/>
    </row>
    <row r="111" spans="2:16" ht="15.75" thickBot="1" x14ac:dyDescent="0.3">
      <c r="B111" s="615"/>
      <c r="C111" s="1161"/>
      <c r="D111" s="1162"/>
      <c r="E111" s="616"/>
      <c r="F111" s="616"/>
      <c r="G111" s="102"/>
      <c r="H111" s="102"/>
      <c r="I111" s="102"/>
      <c r="J111" s="102"/>
      <c r="K111" s="102"/>
      <c r="L111" s="102"/>
      <c r="M111" s="102"/>
      <c r="N111" s="35"/>
      <c r="O111" s="35"/>
      <c r="P111" s="35"/>
    </row>
    <row r="112" spans="2:16" ht="15" x14ac:dyDescent="0.25">
      <c r="B112" s="617"/>
      <c r="C112" s="617"/>
      <c r="D112" s="102"/>
      <c r="E112" s="102"/>
      <c r="F112" s="102"/>
      <c r="G112" s="102"/>
      <c r="H112" s="102"/>
      <c r="I112" s="102"/>
      <c r="J112" s="102"/>
      <c r="K112" s="102"/>
      <c r="L112" s="102"/>
      <c r="M112" s="102"/>
      <c r="N112" s="35"/>
      <c r="O112" s="35"/>
      <c r="P112" s="35"/>
    </row>
    <row r="113" spans="2:16" ht="15.75" x14ac:dyDescent="0.25">
      <c r="B113" s="603"/>
      <c r="C113" s="102"/>
      <c r="D113" s="102"/>
      <c r="E113" s="102"/>
      <c r="F113" s="102"/>
      <c r="G113" s="102"/>
      <c r="H113" s="102"/>
      <c r="I113" s="102"/>
      <c r="J113" s="102"/>
      <c r="K113" s="102"/>
      <c r="L113" s="102"/>
      <c r="M113" s="102"/>
      <c r="N113" s="35"/>
      <c r="O113" s="35"/>
      <c r="P113" s="35"/>
    </row>
    <row r="114" spans="2:16" ht="15.75" x14ac:dyDescent="0.25">
      <c r="B114" s="603"/>
      <c r="C114" s="102"/>
      <c r="D114" s="102"/>
      <c r="E114" s="102"/>
      <c r="F114" s="102"/>
      <c r="G114" s="102"/>
      <c r="H114" s="102"/>
      <c r="I114" s="102"/>
      <c r="J114" s="102"/>
      <c r="K114" s="102"/>
      <c r="L114" s="102"/>
      <c r="M114" s="102"/>
      <c r="N114" s="35"/>
      <c r="O114" s="35"/>
      <c r="P114" s="35"/>
    </row>
    <row r="115" spans="2:16" ht="21.75" customHeight="1" thickBot="1" x14ac:dyDescent="0.25">
      <c r="B115" s="603" t="s">
        <v>120</v>
      </c>
      <c r="C115" s="102"/>
      <c r="D115" s="102"/>
      <c r="E115" s="102"/>
      <c r="F115" s="102"/>
      <c r="G115" s="102"/>
      <c r="H115" s="102"/>
      <c r="I115" s="102"/>
      <c r="J115" s="102"/>
      <c r="K115" s="102"/>
      <c r="L115" s="102"/>
      <c r="M115" s="102"/>
      <c r="N115" s="102"/>
      <c r="O115" s="102"/>
      <c r="P115" s="102"/>
    </row>
    <row r="116" spans="2:16" ht="38.25" x14ac:dyDescent="0.2">
      <c r="B116" s="604" t="s">
        <v>302</v>
      </c>
      <c r="C116" s="605" t="s">
        <v>121</v>
      </c>
      <c r="D116" s="605" t="s">
        <v>122</v>
      </c>
      <c r="E116" s="606" t="s">
        <v>301</v>
      </c>
      <c r="F116" s="102"/>
      <c r="G116" s="102"/>
      <c r="H116" s="102"/>
      <c r="I116" s="102"/>
      <c r="J116" s="102"/>
      <c r="K116" s="102"/>
      <c r="L116" s="102"/>
      <c r="M116" s="102"/>
      <c r="N116" s="102"/>
      <c r="O116" s="102"/>
      <c r="P116" s="102"/>
    </row>
    <row r="117" spans="2:16" x14ac:dyDescent="0.2">
      <c r="B117" s="607" t="s">
        <v>123</v>
      </c>
      <c r="C117" s="608">
        <v>12.8</v>
      </c>
      <c r="D117" s="609">
        <v>2500</v>
      </c>
      <c r="E117" s="610">
        <f>C117*D117</f>
        <v>32000</v>
      </c>
      <c r="F117" s="102"/>
      <c r="G117" s="102"/>
      <c r="H117" s="102"/>
      <c r="I117" s="102"/>
      <c r="J117" s="102"/>
      <c r="K117" s="102"/>
      <c r="L117" s="102"/>
      <c r="M117" s="102"/>
      <c r="N117" s="102"/>
      <c r="O117" s="102"/>
      <c r="P117" s="102"/>
    </row>
    <row r="118" spans="2:16" x14ac:dyDescent="0.2">
      <c r="B118" s="607"/>
      <c r="C118" s="611"/>
      <c r="D118" s="609"/>
      <c r="E118" s="610"/>
      <c r="F118" s="102"/>
      <c r="G118" s="102"/>
      <c r="H118" s="102"/>
      <c r="I118" s="102"/>
      <c r="J118" s="102"/>
      <c r="K118" s="102"/>
      <c r="L118" s="102"/>
      <c r="M118" s="102"/>
      <c r="N118" s="102"/>
      <c r="O118" s="102"/>
      <c r="P118" s="102"/>
    </row>
    <row r="119" spans="2:16" ht="38.25" x14ac:dyDescent="0.2">
      <c r="B119" s="612" t="s">
        <v>124</v>
      </c>
      <c r="C119" s="148" t="s">
        <v>121</v>
      </c>
      <c r="D119" s="148" t="s">
        <v>122</v>
      </c>
      <c r="E119" s="613" t="s">
        <v>301</v>
      </c>
      <c r="F119" s="102"/>
      <c r="G119" s="102"/>
      <c r="H119" s="102"/>
      <c r="I119" s="102"/>
      <c r="J119" s="102"/>
      <c r="K119" s="102"/>
      <c r="L119" s="102"/>
      <c r="M119" s="102"/>
      <c r="N119" s="102"/>
      <c r="O119" s="102"/>
      <c r="P119" s="102"/>
    </row>
    <row r="120" spans="2:16" x14ac:dyDescent="0.2">
      <c r="B120" s="607" t="s">
        <v>123</v>
      </c>
      <c r="C120" s="608"/>
      <c r="D120" s="609">
        <f>D117</f>
        <v>2500</v>
      </c>
      <c r="E120" s="610">
        <f>C120*D120</f>
        <v>0</v>
      </c>
      <c r="F120" s="102"/>
      <c r="G120" s="102"/>
      <c r="H120" s="552"/>
      <c r="I120" s="102"/>
      <c r="J120" s="102"/>
      <c r="K120" s="102"/>
      <c r="L120" s="102"/>
      <c r="M120" s="102"/>
      <c r="N120" s="102"/>
      <c r="O120" s="102"/>
      <c r="P120" s="102"/>
    </row>
    <row r="121" spans="2:16" x14ac:dyDescent="0.2">
      <c r="B121" s="607"/>
      <c r="C121" s="611"/>
      <c r="D121" s="609"/>
      <c r="E121" s="610"/>
      <c r="F121" s="102"/>
      <c r="G121" s="102"/>
      <c r="H121" s="102"/>
      <c r="I121" s="102"/>
      <c r="J121" s="102"/>
      <c r="K121" s="102"/>
      <c r="L121" s="102"/>
      <c r="M121" s="102"/>
      <c r="N121" s="102"/>
      <c r="O121" s="102"/>
      <c r="P121" s="102"/>
    </row>
    <row r="122" spans="2:16" ht="25.5" x14ac:dyDescent="0.2">
      <c r="B122" s="612" t="s">
        <v>96</v>
      </c>
      <c r="C122" s="1157"/>
      <c r="D122" s="1158"/>
      <c r="E122" s="168" t="s">
        <v>125</v>
      </c>
      <c r="F122" s="102"/>
      <c r="G122" s="102"/>
      <c r="H122" s="102"/>
      <c r="I122" s="102"/>
      <c r="J122" s="102"/>
      <c r="K122" s="102"/>
      <c r="L122" s="102"/>
      <c r="M122" s="102"/>
      <c r="N122" s="102"/>
      <c r="O122" s="102"/>
      <c r="P122" s="102"/>
    </row>
    <row r="123" spans="2:16" x14ac:dyDescent="0.2">
      <c r="B123" s="607" t="s">
        <v>123</v>
      </c>
      <c r="C123" s="1159"/>
      <c r="D123" s="1160"/>
      <c r="E123" s="610">
        <f>E117-E120</f>
        <v>32000</v>
      </c>
      <c r="F123" s="102"/>
      <c r="G123" s="102"/>
      <c r="H123" s="102"/>
      <c r="I123" s="102"/>
      <c r="J123" s="102"/>
      <c r="K123" s="102"/>
      <c r="L123" s="102"/>
      <c r="M123" s="102"/>
      <c r="N123" s="102"/>
      <c r="O123" s="102"/>
      <c r="P123" s="102"/>
    </row>
    <row r="124" spans="2:16" ht="13.5" thickBot="1" x14ac:dyDescent="0.25">
      <c r="B124" s="615"/>
      <c r="C124" s="1161"/>
      <c r="D124" s="1162"/>
      <c r="E124" s="616"/>
      <c r="F124" s="102"/>
      <c r="G124" s="102"/>
      <c r="H124" s="102"/>
      <c r="I124" s="102"/>
      <c r="J124" s="102"/>
      <c r="K124" s="102"/>
      <c r="L124" s="102"/>
      <c r="M124" s="102"/>
      <c r="N124" s="102"/>
      <c r="O124" s="102"/>
      <c r="P124" s="102"/>
    </row>
    <row r="125" spans="2:16" x14ac:dyDescent="0.2">
      <c r="B125" s="617"/>
      <c r="C125" s="617"/>
      <c r="D125" s="617"/>
      <c r="E125" s="102"/>
      <c r="F125" s="102"/>
      <c r="G125" s="102"/>
      <c r="H125" s="102"/>
      <c r="I125" s="102"/>
      <c r="J125" s="102"/>
      <c r="K125" s="102"/>
      <c r="L125" s="102"/>
      <c r="M125" s="102"/>
      <c r="N125" s="102"/>
      <c r="O125" s="102"/>
      <c r="P125" s="102"/>
    </row>
    <row r="126" spans="2:16" x14ac:dyDescent="0.2">
      <c r="B126" s="102"/>
      <c r="C126" s="102"/>
      <c r="D126" s="102"/>
      <c r="E126" s="102"/>
      <c r="F126" s="102"/>
      <c r="G126" s="102"/>
      <c r="H126" s="102"/>
    </row>
    <row r="127" spans="2:16" x14ac:dyDescent="0.2">
      <c r="B127" s="102"/>
      <c r="C127" s="102"/>
      <c r="D127" s="102"/>
      <c r="E127" s="102"/>
      <c r="F127" s="102"/>
      <c r="G127" s="102"/>
      <c r="H127" s="102"/>
    </row>
    <row r="128" spans="2:16" ht="16.5" thickBot="1" x14ac:dyDescent="0.25">
      <c r="B128" s="603"/>
      <c r="C128" s="102"/>
      <c r="D128" s="102"/>
      <c r="E128" s="102"/>
      <c r="F128" s="102"/>
      <c r="G128" s="102"/>
      <c r="H128" s="102"/>
    </row>
    <row r="129" spans="2:8" x14ac:dyDescent="0.2">
      <c r="B129" s="618"/>
      <c r="C129" s="619"/>
      <c r="D129" s="620"/>
      <c r="E129" s="606"/>
      <c r="F129" s="102"/>
      <c r="G129" s="102"/>
      <c r="H129" s="102"/>
    </row>
    <row r="130" spans="2:8" x14ac:dyDescent="0.2">
      <c r="B130" s="621"/>
      <c r="C130" s="622"/>
      <c r="D130" s="623"/>
      <c r="E130" s="624"/>
      <c r="F130" s="102"/>
      <c r="G130" s="102"/>
      <c r="H130" s="102"/>
    </row>
    <row r="131" spans="2:8" x14ac:dyDescent="0.2">
      <c r="B131" s="621"/>
      <c r="C131" s="622"/>
      <c r="D131" s="623"/>
      <c r="E131" s="610"/>
      <c r="F131" s="102"/>
      <c r="G131" s="102"/>
      <c r="H131" s="102"/>
    </row>
    <row r="132" spans="2:8" x14ac:dyDescent="0.2">
      <c r="B132" s="1069"/>
      <c r="C132" s="1070"/>
      <c r="D132" s="1071"/>
      <c r="E132" s="613"/>
      <c r="F132" s="102"/>
      <c r="G132" s="102"/>
      <c r="H132" s="102"/>
    </row>
    <row r="133" spans="2:8" x14ac:dyDescent="0.2">
      <c r="B133" s="621"/>
      <c r="C133" s="622"/>
      <c r="D133" s="623"/>
      <c r="E133" s="624"/>
      <c r="F133" s="102"/>
      <c r="G133" s="102"/>
      <c r="H133" s="102"/>
    </row>
    <row r="134" spans="2:8" x14ac:dyDescent="0.2">
      <c r="B134" s="621"/>
      <c r="C134" s="622"/>
      <c r="D134" s="623"/>
      <c r="E134" s="610"/>
      <c r="F134" s="102"/>
      <c r="G134" s="102"/>
      <c r="H134" s="102"/>
    </row>
    <row r="135" spans="2:8" x14ac:dyDescent="0.2">
      <c r="B135" s="1069"/>
      <c r="C135" s="1070"/>
      <c r="D135" s="1071"/>
      <c r="E135" s="168"/>
      <c r="F135" s="102"/>
      <c r="G135" s="102"/>
      <c r="H135" s="102"/>
    </row>
    <row r="136" spans="2:8" x14ac:dyDescent="0.2">
      <c r="B136" s="621"/>
      <c r="C136" s="622"/>
      <c r="D136" s="623"/>
      <c r="E136" s="610"/>
      <c r="F136" s="102"/>
      <c r="G136" s="102"/>
      <c r="H136" s="102"/>
    </row>
    <row r="137" spans="2:8" ht="13.5" thickBot="1" x14ac:dyDescent="0.25">
      <c r="B137" s="741"/>
      <c r="C137" s="743"/>
      <c r="D137" s="742"/>
      <c r="E137" s="616"/>
      <c r="F137" s="102"/>
      <c r="G137" s="102"/>
      <c r="H137" s="102"/>
    </row>
    <row r="138" spans="2:8" x14ac:dyDescent="0.2">
      <c r="B138" s="40"/>
      <c r="C138" s="40"/>
      <c r="D138" s="40"/>
    </row>
    <row r="141" spans="2:8" s="736" customFormat="1" ht="16.5" thickBot="1" x14ac:dyDescent="0.25">
      <c r="B141" s="734"/>
      <c r="C141" s="735"/>
      <c r="D141" s="735"/>
      <c r="E141" s="735"/>
    </row>
    <row r="142" spans="2:8" s="736" customFormat="1" x14ac:dyDescent="0.2">
      <c r="B142" s="618"/>
      <c r="C142" s="619"/>
      <c r="D142" s="620"/>
      <c r="E142" s="737"/>
      <c r="F142" s="606"/>
    </row>
    <row r="143" spans="2:8" s="736" customFormat="1" x14ac:dyDescent="0.2">
      <c r="B143" s="621"/>
      <c r="C143" s="622"/>
      <c r="D143" s="623"/>
      <c r="E143" s="624"/>
      <c r="F143" s="610"/>
    </row>
    <row r="144" spans="2:8" s="736" customFormat="1" x14ac:dyDescent="0.2">
      <c r="B144" s="621"/>
      <c r="C144" s="622"/>
      <c r="D144" s="623"/>
      <c r="E144" s="738"/>
      <c r="F144" s="610"/>
    </row>
    <row r="145" spans="2:6" s="736" customFormat="1" x14ac:dyDescent="0.2">
      <c r="B145" s="1069"/>
      <c r="C145" s="1070"/>
      <c r="D145" s="1071"/>
      <c r="E145" s="739"/>
      <c r="F145" s="613"/>
    </row>
    <row r="146" spans="2:6" s="736" customFormat="1" x14ac:dyDescent="0.2">
      <c r="B146" s="621"/>
      <c r="C146" s="622"/>
      <c r="D146" s="623"/>
      <c r="E146" s="624"/>
      <c r="F146" s="610"/>
    </row>
    <row r="147" spans="2:6" s="736" customFormat="1" x14ac:dyDescent="0.2">
      <c r="B147" s="621"/>
      <c r="C147" s="622"/>
      <c r="D147" s="623"/>
      <c r="E147" s="738"/>
      <c r="F147" s="610"/>
    </row>
    <row r="148" spans="2:6" s="736" customFormat="1" x14ac:dyDescent="0.2">
      <c r="B148" s="1069"/>
      <c r="C148" s="1070"/>
      <c r="D148" s="1071"/>
      <c r="E148" s="739"/>
      <c r="F148" s="613"/>
    </row>
    <row r="149" spans="2:6" s="736" customFormat="1" x14ac:dyDescent="0.2">
      <c r="B149" s="621"/>
      <c r="C149" s="622"/>
      <c r="D149" s="623"/>
      <c r="E149" s="738"/>
      <c r="F149" s="610"/>
    </row>
    <row r="150" spans="2:6" s="736" customFormat="1" ht="13.5" thickBot="1" x14ac:dyDescent="0.25">
      <c r="B150" s="741"/>
      <c r="C150" s="743"/>
      <c r="D150" s="742"/>
      <c r="E150" s="740"/>
      <c r="F150" s="616"/>
    </row>
  </sheetData>
  <mergeCells count="16">
    <mergeCell ref="B6:C6"/>
    <mergeCell ref="B7:C7"/>
    <mergeCell ref="B8:C8"/>
    <mergeCell ref="H12:J12"/>
    <mergeCell ref="B55:E55"/>
    <mergeCell ref="H55:J55"/>
    <mergeCell ref="N97:O97"/>
    <mergeCell ref="N98:P98"/>
    <mergeCell ref="C109:D111"/>
    <mergeCell ref="C122:D124"/>
    <mergeCell ref="N55:P55"/>
    <mergeCell ref="N71:O71"/>
    <mergeCell ref="H72:I72"/>
    <mergeCell ref="N72:P72"/>
    <mergeCell ref="H73:J73"/>
    <mergeCell ref="N79:P79"/>
  </mergeCells>
  <pageMargins left="0.70866141732283472" right="0.70866141732283472" top="0.74803149606299213" bottom="0.74803149606299213" header="0.31496062992125984" footer="0.31496062992125984"/>
  <pageSetup paperSize="9" scale="29" orientation="portrait" r:id="rId1"/>
  <headerFooter>
    <oddHeader>&amp;LProgram izvajanja koncesije "Celovita energetska prenova 7 objektov UKC LJ"&amp;R&amp;A</oddHeader>
    <oddFooter>&amp;RStran &amp;P / &amp;N</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189EEE6-8FF0-45B7-9ADA-421BC32E303E}">
          <x14:formula1>
            <xm:f>'Osnovni podatki'!$B$6:$B$9</xm:f>
          </x14:formula1>
          <xm:sqref>D6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3C2F9-2940-4FBA-970B-AFADF46252C7}">
  <sheetPr>
    <pageSetUpPr fitToPage="1"/>
  </sheetPr>
  <dimension ref="B2:P150"/>
  <sheetViews>
    <sheetView showWhiteSpace="0" topLeftCell="A88" zoomScale="85" zoomScaleNormal="85" zoomScaleSheetLayoutView="85" workbookViewId="0">
      <selection activeCell="H114" sqref="H114"/>
    </sheetView>
  </sheetViews>
  <sheetFormatPr defaultColWidth="9.140625" defaultRowHeight="12.75" x14ac:dyDescent="0.2"/>
  <cols>
    <col min="1" max="1" width="4.85546875" style="32" customWidth="1"/>
    <col min="2" max="2" width="61.42578125" style="32" bestFit="1" customWidth="1"/>
    <col min="3" max="3" width="11.140625" style="32" bestFit="1" customWidth="1"/>
    <col min="4" max="4" width="15" style="32" customWidth="1"/>
    <col min="5" max="5" width="17.28515625" style="32" customWidth="1"/>
    <col min="6" max="6" width="16.42578125" style="32" customWidth="1"/>
    <col min="7" max="7" width="3.7109375" style="32" customWidth="1"/>
    <col min="8" max="8" width="42.7109375" style="32" customWidth="1"/>
    <col min="9" max="13" width="17.7109375" style="32" customWidth="1"/>
    <col min="14" max="14" width="14.5703125" style="32" customWidth="1"/>
    <col min="15" max="15" width="9.140625" style="32"/>
    <col min="16" max="16" width="9.140625" style="32" customWidth="1"/>
    <col min="17" max="16384" width="9.140625" style="32"/>
  </cols>
  <sheetData>
    <row r="2" spans="2:15" ht="20.25" x14ac:dyDescent="0.2">
      <c r="B2" s="37" t="s">
        <v>81</v>
      </c>
      <c r="C2" s="102"/>
      <c r="D2" s="102"/>
      <c r="E2" s="102"/>
      <c r="F2" s="102"/>
      <c r="G2" s="102"/>
      <c r="H2" s="102"/>
      <c r="I2" s="102"/>
      <c r="J2" s="102"/>
      <c r="K2" s="102"/>
      <c r="L2" s="102"/>
      <c r="M2" s="102"/>
      <c r="N2" s="102"/>
      <c r="O2" s="102"/>
    </row>
    <row r="4" spans="2:15" ht="16.5" thickBot="1" x14ac:dyDescent="0.25">
      <c r="B4" s="39" t="s">
        <v>303</v>
      </c>
      <c r="C4" s="102"/>
      <c r="D4" s="102"/>
      <c r="E4" s="102"/>
      <c r="F4" s="102"/>
      <c r="G4" s="102"/>
      <c r="H4" s="102"/>
      <c r="I4" s="102"/>
      <c r="J4" s="102"/>
      <c r="K4" s="102"/>
      <c r="L4" s="102"/>
      <c r="M4" s="102"/>
      <c r="N4" s="102"/>
      <c r="O4" s="102"/>
    </row>
    <row r="5" spans="2:15" ht="15" customHeight="1" x14ac:dyDescent="0.2">
      <c r="B5" s="7" t="s">
        <v>82</v>
      </c>
      <c r="C5" s="165"/>
      <c r="D5" s="166"/>
      <c r="E5" s="102"/>
      <c r="F5" s="102"/>
      <c r="G5" s="102"/>
      <c r="H5" s="102"/>
      <c r="I5" s="102"/>
      <c r="J5" s="102"/>
      <c r="K5" s="102"/>
      <c r="L5" s="102"/>
      <c r="M5" s="102"/>
      <c r="N5" s="102"/>
      <c r="O5" s="102"/>
    </row>
    <row r="6" spans="2:15" ht="15" customHeight="1" x14ac:dyDescent="0.2">
      <c r="B6" s="1163" t="s">
        <v>51</v>
      </c>
      <c r="C6" s="1164"/>
      <c r="D6" s="167">
        <v>3</v>
      </c>
      <c r="E6" s="102"/>
      <c r="F6" s="102"/>
      <c r="G6" s="102"/>
      <c r="H6" s="102"/>
      <c r="I6" s="102"/>
      <c r="J6" s="102"/>
      <c r="K6" s="102"/>
      <c r="L6" s="102"/>
      <c r="M6" s="102"/>
      <c r="N6" s="102"/>
      <c r="O6" s="102"/>
    </row>
    <row r="7" spans="2:15" ht="15" customHeight="1" x14ac:dyDescent="0.2">
      <c r="B7" s="1163" t="s">
        <v>52</v>
      </c>
      <c r="C7" s="1164"/>
      <c r="D7" s="167" t="str">
        <f>INDEX('Referenčne količine'!$B$4:$G$15,MATCH(B7,('Referenčne količine'!$B$4:$B$15),0),MATCH($D$6,'Referenčne količine'!$B$5:$G$5,0))</f>
        <v>OB003</v>
      </c>
      <c r="E7" s="102"/>
      <c r="F7" s="102"/>
      <c r="G7" s="102"/>
      <c r="H7" s="102"/>
      <c r="I7" s="102"/>
      <c r="J7" s="102"/>
      <c r="K7" s="102"/>
      <c r="L7" s="102"/>
      <c r="M7" s="102"/>
      <c r="N7" s="102"/>
      <c r="O7" s="102"/>
    </row>
    <row r="8" spans="2:15" ht="39.950000000000003" customHeight="1" x14ac:dyDescent="0.2">
      <c r="B8" s="1163" t="s">
        <v>53</v>
      </c>
      <c r="C8" s="1164"/>
      <c r="D8" s="168" t="str">
        <f>INDEX('Referenčne količine'!$B$4:$G$15,MATCH(B8,('Referenčne količine'!$B$4:$B$15),0),MATCH($D$6,'Referenčne količine'!$B$5:$G$5,0))</f>
        <v>Vrtec Vnanje Gorice</v>
      </c>
      <c r="E8" s="102"/>
      <c r="F8" s="102"/>
      <c r="G8" s="102"/>
      <c r="H8" s="102"/>
      <c r="I8" s="102"/>
      <c r="J8" s="102"/>
      <c r="K8" s="102"/>
      <c r="L8" s="102"/>
      <c r="M8" s="102"/>
      <c r="N8" s="102"/>
      <c r="O8" s="102"/>
    </row>
    <row r="9" spans="2:15" ht="15" customHeight="1" x14ac:dyDescent="0.2">
      <c r="B9" s="6" t="s">
        <v>54</v>
      </c>
      <c r="C9" s="5" t="s">
        <v>55</v>
      </c>
      <c r="D9" s="29">
        <f>INDEX('Referenčne količine'!$B$4:$G$15,MATCH(B9,('Referenčne količine'!$B$4:$B$15),0),MATCH($D$6,'Referenčne količine'!$B$5:$G$5,0))</f>
        <v>923.5</v>
      </c>
      <c r="E9" s="102"/>
      <c r="F9" s="102"/>
      <c r="G9" s="102"/>
      <c r="H9" s="102"/>
      <c r="I9" s="102"/>
      <c r="J9" s="102"/>
      <c r="K9" s="102"/>
      <c r="L9" s="102"/>
      <c r="M9" s="102"/>
      <c r="N9" s="102"/>
      <c r="O9" s="102"/>
    </row>
    <row r="10" spans="2:15" ht="15" customHeight="1" thickBot="1" x14ac:dyDescent="0.25">
      <c r="B10" s="3" t="s">
        <v>83</v>
      </c>
      <c r="C10" s="8"/>
      <c r="D10" s="9"/>
      <c r="E10" s="102"/>
      <c r="F10" s="102"/>
      <c r="G10" s="102"/>
      <c r="H10" s="39" t="s">
        <v>84</v>
      </c>
      <c r="I10" s="102"/>
      <c r="J10" s="102"/>
      <c r="K10" s="102"/>
      <c r="L10" s="102"/>
      <c r="M10" s="102"/>
      <c r="N10" s="102"/>
      <c r="O10" s="102"/>
    </row>
    <row r="11" spans="2:15" ht="15" customHeight="1" x14ac:dyDescent="0.2">
      <c r="B11" s="169" t="s">
        <v>63</v>
      </c>
      <c r="C11" s="170"/>
      <c r="D11" s="167" t="str">
        <f>INDEX('Referenčne količine'!$B$16:$G$36,MATCH(B11,('Referenčne količine'!$B$16:$B$36),0),MATCH($D$6,'Referenčne količine'!$B$5:$G$5,0))</f>
        <v>ZP</v>
      </c>
      <c r="E11" s="102"/>
      <c r="F11" s="102"/>
      <c r="G11" s="102"/>
      <c r="H11" s="107" t="s">
        <v>84</v>
      </c>
      <c r="I11" s="108"/>
      <c r="J11" s="109"/>
      <c r="K11" s="50" t="str">
        <f>D7</f>
        <v>OB003</v>
      </c>
      <c r="L11" s="102"/>
      <c r="M11" s="102"/>
      <c r="N11" s="102"/>
      <c r="O11" s="102"/>
    </row>
    <row r="12" spans="2:15" ht="15" customHeight="1" x14ac:dyDescent="0.2">
      <c r="B12" s="171" t="s">
        <v>272</v>
      </c>
      <c r="C12" s="150" t="s">
        <v>64</v>
      </c>
      <c r="D12" s="29">
        <f>INDEX('Referenčne količine'!$B$16:$G$36,MATCH(B12,('Referenčne količine'!$B$16:$B$36),0),MATCH($D$6,'Referenčne količine'!$B$5:$G$5,0))</f>
        <v>185929</v>
      </c>
      <c r="E12" s="102"/>
      <c r="F12" s="102"/>
      <c r="G12" s="102"/>
      <c r="H12" s="1165" t="s">
        <v>85</v>
      </c>
      <c r="I12" s="1166"/>
      <c r="J12" s="1167"/>
      <c r="K12" s="51" t="s">
        <v>12</v>
      </c>
      <c r="L12" s="102"/>
      <c r="M12" s="102"/>
      <c r="N12" s="102"/>
      <c r="O12" s="242"/>
    </row>
    <row r="13" spans="2:15" ht="15" customHeight="1" x14ac:dyDescent="0.2">
      <c r="B13" s="171" t="s">
        <v>273</v>
      </c>
      <c r="C13" s="150" t="s">
        <v>64</v>
      </c>
      <c r="D13" s="29">
        <f>INDEX('Referenčne količine'!$B$16:$G$36,MATCH(B13,('Referenčne količine'!$B$16:$B$36),0),MATCH($D$6,'Referenčne količine'!$B$5:$G$5,0))</f>
        <v>27136.038337921291</v>
      </c>
      <c r="E13" s="102"/>
      <c r="F13" s="102"/>
      <c r="G13" s="102"/>
      <c r="H13" s="208" t="s" cm="1">
        <v>453</v>
      </c>
      <c r="I13" s="209"/>
      <c r="J13" s="210"/>
      <c r="K13" s="172"/>
      <c r="L13" s="102"/>
      <c r="M13" s="102"/>
      <c r="N13" s="102"/>
      <c r="O13" s="102"/>
    </row>
    <row r="14" spans="2:15" ht="15" customHeight="1" x14ac:dyDescent="0.2">
      <c r="B14" s="171" t="s">
        <v>274</v>
      </c>
      <c r="C14" s="150" t="s">
        <v>64</v>
      </c>
      <c r="D14" s="29">
        <f>INDEX('Referenčne količine'!$B$16:$G$36,MATCH(B14,('Referenčne količine'!$B$16:$B$36),0),MATCH($D$6,'Referenčne količine'!$B$5:$G$5,0))</f>
        <v>213065.03833792129</v>
      </c>
      <c r="E14" s="102"/>
      <c r="F14" s="102"/>
      <c r="G14" s="102"/>
      <c r="H14" s="208" t="s">
        <v>458</v>
      </c>
      <c r="I14" s="209"/>
      <c r="J14" s="210"/>
      <c r="K14" s="172"/>
      <c r="L14" s="102"/>
      <c r="M14" s="102"/>
      <c r="N14" s="102"/>
      <c r="O14" s="102"/>
    </row>
    <row r="15" spans="2:15" ht="15" customHeight="1" x14ac:dyDescent="0.2">
      <c r="B15" s="171" t="s">
        <v>275</v>
      </c>
      <c r="C15" s="150" t="s">
        <v>64</v>
      </c>
      <c r="D15" s="29">
        <f>INDEX('Referenčne količine'!$B$16:$G$36,MATCH(B15,('Referenčne količine'!$B$16:$B$36),0),MATCH($D$6,'Referenčne količine'!$B$5:$G$5,0))</f>
        <v>114346.601666826</v>
      </c>
      <c r="E15" s="102"/>
      <c r="F15" s="102"/>
      <c r="G15" s="102"/>
      <c r="H15" s="208" t="s">
        <v>459</v>
      </c>
      <c r="I15" s="209"/>
      <c r="J15" s="210"/>
      <c r="K15" s="172"/>
      <c r="L15" s="102"/>
      <c r="M15" s="102"/>
      <c r="N15" s="102"/>
      <c r="O15" s="102"/>
    </row>
    <row r="16" spans="2:15" ht="15" customHeight="1" x14ac:dyDescent="0.2">
      <c r="B16" s="171" t="s">
        <v>285</v>
      </c>
      <c r="C16" s="150" t="s">
        <v>64</v>
      </c>
      <c r="D16" s="29">
        <f>INDEX('Referenčne količine'!$B$16:$G$36,MATCH(B16,('Referenčne količine'!$B$16:$B$36),0),MATCH($D$6,'Referenčne količine'!$B$5:$G$5,0))</f>
        <v>37185.822222235496</v>
      </c>
      <c r="E16" s="102"/>
      <c r="F16" s="102"/>
      <c r="G16" s="102"/>
      <c r="H16" s="173" t="s">
        <v>460</v>
      </c>
      <c r="I16" s="174"/>
      <c r="J16" s="175"/>
      <c r="K16" s="172"/>
      <c r="L16" s="102"/>
      <c r="M16" s="102"/>
      <c r="N16" s="102"/>
      <c r="O16" s="102"/>
    </row>
    <row r="17" spans="2:15" ht="15" customHeight="1" x14ac:dyDescent="0.2">
      <c r="B17" s="171" t="s">
        <v>276</v>
      </c>
      <c r="C17" s="150" t="s">
        <v>64</v>
      </c>
      <c r="D17" s="29">
        <f>INDEX('Referenčne količine'!$B$16:$G$36,MATCH(B17,('Referenčne količine'!$B$16:$B$36),0),MATCH($D$6,'Referenčne količine'!$B$5:$G$5,0))</f>
        <v>61533.003524759268</v>
      </c>
      <c r="E17" s="102"/>
      <c r="F17" s="102"/>
      <c r="G17" s="102"/>
      <c r="H17" s="173" t="s">
        <v>454</v>
      </c>
      <c r="I17" s="174"/>
      <c r="J17" s="175"/>
      <c r="K17" s="172"/>
      <c r="L17" s="102"/>
      <c r="M17" s="102"/>
      <c r="N17" s="102"/>
      <c r="O17" s="102"/>
    </row>
    <row r="18" spans="2:15" ht="15" customHeight="1" thickBot="1" x14ac:dyDescent="0.25">
      <c r="B18" s="536"/>
      <c r="C18" s="482"/>
      <c r="D18" s="537"/>
      <c r="E18" s="102"/>
      <c r="F18" s="102"/>
      <c r="G18" s="102"/>
      <c r="H18" s="173" t="s">
        <v>455</v>
      </c>
      <c r="I18" s="174"/>
      <c r="J18" s="175"/>
      <c r="K18" s="172"/>
      <c r="L18" s="102"/>
      <c r="M18" s="102"/>
      <c r="N18" s="102"/>
      <c r="O18" s="102"/>
    </row>
    <row r="19" spans="2:15" ht="15" customHeight="1" x14ac:dyDescent="0.25">
      <c r="B19" s="487" t="s">
        <v>286</v>
      </c>
      <c r="C19" s="203" t="s">
        <v>64</v>
      </c>
      <c r="D19" s="540">
        <f>INDEX('Referenčne količine'!$B$16:$G$36,MATCH(B19,('Referenčne količine'!$B$16:$B$36),0),MATCH($D$6,'Referenčne količine'!$B$5:$G$5,0))</f>
        <v>167336</v>
      </c>
      <c r="E19" s="35"/>
      <c r="F19" s="102"/>
      <c r="G19" s="102"/>
      <c r="H19" s="173" t="s">
        <v>461</v>
      </c>
      <c r="I19" s="174"/>
      <c r="J19" s="175"/>
      <c r="K19" s="172"/>
      <c r="L19" s="102"/>
      <c r="M19" s="102"/>
      <c r="N19" s="102"/>
      <c r="O19" s="102"/>
    </row>
    <row r="20" spans="2:15" ht="15" customHeight="1" x14ac:dyDescent="0.2">
      <c r="B20" s="171" t="s">
        <v>287</v>
      </c>
      <c r="C20" s="150" t="s">
        <v>64</v>
      </c>
      <c r="D20" s="29">
        <f>INDEX('Referenčne količine'!$B$16:$G$36,MATCH(B20,('Referenčne količine'!$B$16:$B$36),0),MATCH($D$6,'Referenčne količine'!$B$5:$G$5,0))</f>
        <v>24422.434504129164</v>
      </c>
      <c r="E20" s="102"/>
      <c r="F20" s="102"/>
      <c r="G20" s="102"/>
      <c r="H20" s="173" t="s">
        <v>462</v>
      </c>
      <c r="I20" s="174"/>
      <c r="J20" s="175"/>
      <c r="K20" s="172"/>
      <c r="L20" s="102"/>
      <c r="M20" s="102"/>
      <c r="N20" s="102"/>
      <c r="O20" s="102"/>
    </row>
    <row r="21" spans="2:15" ht="15" customHeight="1" x14ac:dyDescent="0.2">
      <c r="B21" s="4" t="s">
        <v>288</v>
      </c>
      <c r="C21" s="2" t="s">
        <v>64</v>
      </c>
      <c r="D21" s="531">
        <f>INDEX('Referenčne količine'!$B$16:$G$36,MATCH(B21,('Referenčne količine'!$B$16:$B$36),0),MATCH($D$6,'Referenčne količine'!$B$5:$G$5,0))</f>
        <v>191758.43450412917</v>
      </c>
      <c r="E21" s="102"/>
      <c r="F21" s="102"/>
      <c r="G21" s="102"/>
      <c r="H21" s="173" t="s">
        <v>457</v>
      </c>
      <c r="I21" s="174"/>
      <c r="J21" s="175"/>
      <c r="K21" s="172"/>
      <c r="L21" s="102"/>
      <c r="M21" s="102"/>
      <c r="N21" s="102"/>
      <c r="O21" s="102"/>
    </row>
    <row r="22" spans="2:15" ht="15" customHeight="1" x14ac:dyDescent="0.2">
      <c r="B22" s="171" t="s">
        <v>289</v>
      </c>
      <c r="C22" s="150" t="s">
        <v>64</v>
      </c>
      <c r="D22" s="29">
        <f>INDEX('Referenčne količine'!$B$16:$G$36,MATCH(B22,('Referenčne količine'!$B$16:$B$36),0),MATCH($D$6,'Referenčne količine'!$B$5:$G$5,0))</f>
        <v>102911.87999999999</v>
      </c>
      <c r="E22" s="102"/>
      <c r="F22" s="102"/>
      <c r="G22" s="102"/>
      <c r="H22" s="173"/>
      <c r="I22" s="174"/>
      <c r="J22" s="175"/>
      <c r="K22" s="172"/>
      <c r="L22" s="102"/>
      <c r="M22" s="102"/>
      <c r="N22" s="102"/>
      <c r="O22" s="102"/>
    </row>
    <row r="23" spans="2:15" ht="15" customHeight="1" x14ac:dyDescent="0.2">
      <c r="B23" s="171" t="s">
        <v>290</v>
      </c>
      <c r="C23" s="150" t="s">
        <v>64</v>
      </c>
      <c r="D23" s="29">
        <f>INDEX('Referenčne količine'!$B$16:$G$36,MATCH(B23,('Referenčne količine'!$B$16:$B$36),0),MATCH($D$6,'Referenčne količine'!$B$5:$G$5,0))</f>
        <v>33467.22</v>
      </c>
      <c r="E23" s="102"/>
      <c r="F23" s="102"/>
      <c r="G23" s="102"/>
      <c r="H23" s="104"/>
      <c r="I23" s="105"/>
      <c r="J23" s="106"/>
      <c r="K23" s="172"/>
      <c r="L23" s="102"/>
      <c r="M23" s="97"/>
      <c r="N23" s="102"/>
      <c r="O23" s="102"/>
    </row>
    <row r="24" spans="2:15" ht="15" customHeight="1" x14ac:dyDescent="0.2">
      <c r="B24" s="171" t="s">
        <v>291</v>
      </c>
      <c r="C24" s="150" t="s">
        <v>64</v>
      </c>
      <c r="D24" s="29">
        <f>INDEX('Referenčne količine'!$B$16:$G$36,MATCH(B24,('Referenčne količine'!$B$16:$B$36),0),MATCH($D$6,'Referenčne količine'!$B$5:$G$5,0))</f>
        <v>55379.670077390394</v>
      </c>
      <c r="E24" s="102"/>
      <c r="F24" s="102"/>
      <c r="G24" s="102"/>
      <c r="H24" s="104"/>
      <c r="I24" s="105"/>
      <c r="J24" s="106"/>
      <c r="K24" s="172"/>
      <c r="L24" s="102"/>
      <c r="M24" s="102"/>
      <c r="N24" s="102"/>
      <c r="O24" s="102"/>
    </row>
    <row r="25" spans="2:15" ht="15" customHeight="1" thickBot="1" x14ac:dyDescent="0.25">
      <c r="B25" s="204"/>
      <c r="C25" s="217"/>
      <c r="D25" s="541"/>
      <c r="E25" s="102"/>
      <c r="F25" s="102"/>
      <c r="G25" s="102"/>
      <c r="H25" s="104"/>
      <c r="I25" s="105"/>
      <c r="J25" s="106"/>
      <c r="K25" s="172"/>
      <c r="L25" s="102"/>
      <c r="M25" s="102"/>
      <c r="N25" s="102"/>
      <c r="O25" s="102"/>
    </row>
    <row r="26" spans="2:15" ht="15" customHeight="1" x14ac:dyDescent="0.2">
      <c r="B26" s="538" t="s">
        <v>268</v>
      </c>
      <c r="C26" s="486" t="s">
        <v>66</v>
      </c>
      <c r="D26" s="539">
        <f>INDEX('Referenčne količine'!$B$16:$G$36,MATCH(B26,('Referenčne količine'!$B$16:$B$36),0),MATCH($D$6,'Referenčne količine'!$B$5:$G$5,0))</f>
        <v>100</v>
      </c>
      <c r="E26" s="102"/>
      <c r="F26" s="102"/>
      <c r="G26" s="102"/>
      <c r="H26" s="104"/>
      <c r="I26" s="105"/>
      <c r="J26" s="106"/>
      <c r="K26" s="172"/>
      <c r="L26" s="102"/>
      <c r="M26" s="102"/>
      <c r="N26" s="102"/>
      <c r="O26" s="102"/>
    </row>
    <row r="27" spans="2:15" ht="15" customHeight="1" x14ac:dyDescent="0.2">
      <c r="B27" s="171" t="s">
        <v>292</v>
      </c>
      <c r="C27" s="150" t="s">
        <v>66</v>
      </c>
      <c r="D27" s="176">
        <f>INDEX('Referenčne količine'!$B$16:$G$36,MATCH(B27,('Referenčne količine'!$B$16:$B$36),0),MATCH($D$6,'Referenčne količine'!$B$5:$G$5,0))</f>
        <v>111.11117751111536</v>
      </c>
      <c r="E27" s="102"/>
      <c r="F27" s="102"/>
      <c r="G27" s="102"/>
      <c r="H27" s="104"/>
      <c r="I27" s="105"/>
      <c r="J27" s="106"/>
      <c r="K27" s="172"/>
      <c r="L27" s="102"/>
      <c r="M27" s="127"/>
      <c r="N27" s="102"/>
      <c r="O27" s="102"/>
    </row>
    <row r="28" spans="2:15" ht="15" customHeight="1" x14ac:dyDescent="0.2">
      <c r="B28" s="171" t="s">
        <v>67</v>
      </c>
      <c r="C28" s="150" t="s">
        <v>68</v>
      </c>
      <c r="D28" s="177">
        <f>INDEX('Referenčne količine'!$B$16:$G$36,MATCH(B28,('Referenčne količine'!$B$16:$B$36),0),MATCH($D$6,'Referenčne količine'!$B$5:$G$5,0))</f>
        <v>18592.900000000001</v>
      </c>
      <c r="E28" s="102"/>
      <c r="F28" s="102"/>
      <c r="G28" s="102"/>
      <c r="H28" s="104"/>
      <c r="I28" s="105"/>
      <c r="J28" s="106"/>
      <c r="K28" s="172"/>
      <c r="L28" s="102"/>
      <c r="M28" s="102"/>
      <c r="N28" s="102"/>
      <c r="O28" s="102"/>
    </row>
    <row r="29" spans="2:15" ht="15" customHeight="1" x14ac:dyDescent="0.2">
      <c r="B29" s="171" t="s">
        <v>69</v>
      </c>
      <c r="C29" s="150" t="s">
        <v>68</v>
      </c>
      <c r="D29" s="177">
        <f>INDEX('Referenčne količine'!$B$16:$G$36,MATCH(B29,('Referenčne količine'!$B$16:$B$36),0),MATCH($D$6,'Referenčne količine'!$B$5:$G$5,0))</f>
        <v>2713.6038337921291</v>
      </c>
      <c r="E29" s="102"/>
      <c r="F29" s="102"/>
      <c r="G29" s="102"/>
      <c r="H29" s="104"/>
      <c r="I29" s="105"/>
      <c r="J29" s="106"/>
      <c r="K29" s="172"/>
      <c r="L29" s="102"/>
      <c r="M29" s="102"/>
      <c r="N29" s="102"/>
      <c r="O29" s="102"/>
    </row>
    <row r="30" spans="2:15" ht="15" customHeight="1" x14ac:dyDescent="0.2">
      <c r="B30" s="171" t="s">
        <v>277</v>
      </c>
      <c r="C30" s="150" t="s">
        <v>68</v>
      </c>
      <c r="D30" s="177">
        <f>INDEX('Referenčne količine'!$B$16:$G$36,MATCH(B30,('Referenčne količine'!$B$16:$B$36),0),MATCH($D$6,'Referenčne količine'!$B$5:$G$5,0))</f>
        <v>21306.503833792129</v>
      </c>
      <c r="E30" s="102"/>
      <c r="F30" s="102"/>
      <c r="G30" s="102"/>
      <c r="H30" s="126"/>
      <c r="I30" s="174"/>
      <c r="J30" s="175"/>
      <c r="K30" s="172"/>
      <c r="L30" s="102"/>
      <c r="M30" s="102"/>
      <c r="N30" s="102"/>
      <c r="O30" s="102"/>
    </row>
    <row r="31" spans="2:15" ht="15" customHeight="1" x14ac:dyDescent="0.2">
      <c r="B31" s="10" t="s">
        <v>86</v>
      </c>
      <c r="C31" s="11"/>
      <c r="D31" s="12"/>
      <c r="E31" s="102"/>
      <c r="F31" s="102"/>
      <c r="G31" s="102"/>
      <c r="H31" s="173"/>
      <c r="I31" s="174"/>
      <c r="J31" s="175"/>
      <c r="K31" s="172"/>
      <c r="L31" s="102"/>
      <c r="M31" s="102"/>
      <c r="N31" s="102"/>
      <c r="O31" s="102"/>
    </row>
    <row r="32" spans="2:15" ht="15" customHeight="1" x14ac:dyDescent="0.2">
      <c r="B32" s="178" t="s">
        <v>278</v>
      </c>
      <c r="C32" s="155" t="s">
        <v>64</v>
      </c>
      <c r="D32" s="29">
        <f>INDEX('Referenčne količine'!$B$37:$G$47,MATCH(B32,('Referenčne količine'!$B$37:$B$47),0),MATCH($D$6,'Referenčne količine'!$B$5:$G$5,0))</f>
        <v>77650</v>
      </c>
      <c r="E32" s="102"/>
      <c r="F32" s="102"/>
      <c r="G32" s="102"/>
      <c r="H32" s="173"/>
      <c r="I32" s="174"/>
      <c r="J32" s="175"/>
      <c r="K32" s="172"/>
      <c r="L32" s="102"/>
      <c r="M32" s="102"/>
      <c r="N32" s="102"/>
      <c r="O32" s="102"/>
    </row>
    <row r="33" spans="2:12" ht="15" customHeight="1" x14ac:dyDescent="0.2">
      <c r="B33" s="178" t="s">
        <v>279</v>
      </c>
      <c r="C33" s="155" t="s">
        <v>64</v>
      </c>
      <c r="D33" s="29">
        <f>INDEX('Referenčne količine'!$B$37:$G$47,MATCH(B33,('Referenčne količine'!$B$37:$B$47),0),MATCH($D$6,'Referenčne količine'!$B$5:$G$5,0))</f>
        <v>22341.000000000004</v>
      </c>
      <c r="E33" s="102"/>
      <c r="F33" s="102"/>
      <c r="G33" s="102"/>
      <c r="H33" s="110" t="s">
        <v>87</v>
      </c>
      <c r="I33" s="111"/>
      <c r="J33" s="112"/>
      <c r="K33" s="179">
        <f>SUM(K13:K32)</f>
        <v>0</v>
      </c>
      <c r="L33" s="102"/>
    </row>
    <row r="34" spans="2:12" ht="15" customHeight="1" x14ac:dyDescent="0.2">
      <c r="B34" s="178" t="s">
        <v>280</v>
      </c>
      <c r="C34" s="155" t="s">
        <v>64</v>
      </c>
      <c r="D34" s="29">
        <f>INDEX('Referenčne količine'!$B$37:$G$47,MATCH(B34,('Referenčne količine'!$B$37:$B$47),0),MATCH($D$6,'Referenčne količine'!$B$5:$G$5,0))</f>
        <v>99991</v>
      </c>
      <c r="E34" s="102"/>
      <c r="F34" s="102"/>
      <c r="G34" s="102"/>
      <c r="H34" s="110" t="s">
        <v>88</v>
      </c>
      <c r="I34" s="111"/>
      <c r="J34" s="112"/>
      <c r="K34" s="179">
        <f>0.22*K33</f>
        <v>0</v>
      </c>
      <c r="L34" s="102"/>
    </row>
    <row r="35" spans="2:12" ht="18.75" customHeight="1" thickBot="1" x14ac:dyDescent="0.25">
      <c r="B35" s="178" t="s">
        <v>281</v>
      </c>
      <c r="C35" s="155" t="s">
        <v>64</v>
      </c>
      <c r="D35" s="29">
        <f>INDEX('Referenčne količine'!$B$37:$G$47,MATCH(B35,('Referenčne količine'!$B$37:$B$47),0),MATCH($D$6,'Referenčne količine'!$B$5:$G$5,0))</f>
        <v>35075</v>
      </c>
      <c r="E35" s="102"/>
      <c r="F35" s="102"/>
      <c r="G35" s="102"/>
      <c r="H35" s="113" t="s">
        <v>89</v>
      </c>
      <c r="I35" s="114"/>
      <c r="J35" s="115"/>
      <c r="K35" s="180">
        <f>K33+K34</f>
        <v>0</v>
      </c>
      <c r="L35" s="102"/>
    </row>
    <row r="36" spans="2:12" ht="18.75" customHeight="1" x14ac:dyDescent="0.2">
      <c r="B36" s="178" t="s">
        <v>283</v>
      </c>
      <c r="C36" s="155" t="s">
        <v>64</v>
      </c>
      <c r="D36" s="29">
        <f>INDEX('Referenčne količine'!$B$37:$G$47,MATCH(B36,('Referenčne količine'!$B$37:$B$47),0),MATCH($D$6,'Referenčne količine'!$B$5:$G$5,0))</f>
        <v>0</v>
      </c>
      <c r="E36" s="102"/>
      <c r="F36" s="102"/>
      <c r="G36" s="102"/>
      <c r="H36" s="102"/>
      <c r="I36" s="102"/>
      <c r="J36" s="102"/>
      <c r="K36" s="102"/>
      <c r="L36" s="102"/>
    </row>
    <row r="37" spans="2:12" ht="18.75" customHeight="1" x14ac:dyDescent="0.2">
      <c r="B37" s="178" t="s">
        <v>282</v>
      </c>
      <c r="C37" s="155" t="s">
        <v>64</v>
      </c>
      <c r="D37" s="29">
        <f>INDEX('Referenčne količine'!$B$37:$G$47,MATCH(B37,('Referenčne količine'!$B$37:$B$47),0),MATCH($D$6,'Referenčne količine'!$B$5:$G$5,0))</f>
        <v>61571.62</v>
      </c>
      <c r="E37" s="102"/>
      <c r="F37" s="102"/>
      <c r="G37" s="102"/>
      <c r="H37" s="102" t="s">
        <v>90</v>
      </c>
      <c r="I37" s="102"/>
      <c r="J37" s="102"/>
      <c r="K37" s="102"/>
      <c r="L37" s="102"/>
    </row>
    <row r="38" spans="2:12" ht="15" customHeight="1" x14ac:dyDescent="0.2">
      <c r="B38" s="178" t="s">
        <v>293</v>
      </c>
      <c r="C38" s="155" t="s">
        <v>66</v>
      </c>
      <c r="D38" s="176">
        <f>INDEX('Referenčne količine'!$B$37:$G$47,MATCH(B38,('Referenčne količine'!$B$37:$B$47),0),MATCH($D$6,'Referenčne količine'!$B$5:$G$5,0))</f>
        <v>167</v>
      </c>
      <c r="E38" s="102"/>
      <c r="F38" s="102"/>
      <c r="G38" s="102"/>
      <c r="H38" s="102"/>
      <c r="I38" s="102"/>
      <c r="J38" s="102"/>
      <c r="K38" s="102"/>
      <c r="L38" s="102"/>
    </row>
    <row r="39" spans="2:12" ht="15" customHeight="1" x14ac:dyDescent="0.2">
      <c r="B39" s="178" t="s">
        <v>67</v>
      </c>
      <c r="C39" s="155" t="s">
        <v>68</v>
      </c>
      <c r="D39" s="177">
        <f>INDEX('Referenčne količine'!$B$37:$G$47,MATCH(B39,('Referenčne količine'!$B$37:$B$47),0),MATCH($D$6,'Referenčne količine'!$B$5:$G$5,0))</f>
        <v>12967.550000000001</v>
      </c>
      <c r="E39" s="102"/>
      <c r="F39" s="102"/>
      <c r="G39" s="102"/>
      <c r="H39" s="102"/>
      <c r="I39" s="102"/>
      <c r="J39" s="102"/>
      <c r="K39" s="102"/>
      <c r="L39" s="102"/>
    </row>
    <row r="40" spans="2:12" ht="15" customHeight="1" x14ac:dyDescent="0.2">
      <c r="B40" s="178" t="s">
        <v>69</v>
      </c>
      <c r="C40" s="155" t="s">
        <v>68</v>
      </c>
      <c r="D40" s="177">
        <f>INDEX('Referenčne količine'!$B$37:$G$47,MATCH(B40,('Referenčne količine'!$B$37:$B$47),0),MATCH($D$6,'Referenčne količine'!$B$5:$G$5,0))</f>
        <v>3730.9470000000006</v>
      </c>
      <c r="E40" s="102"/>
      <c r="F40" s="102"/>
      <c r="G40" s="102"/>
      <c r="H40" s="102"/>
      <c r="I40" s="102"/>
      <c r="J40" s="102"/>
      <c r="K40" s="102"/>
      <c r="L40" s="102"/>
    </row>
    <row r="41" spans="2:12" x14ac:dyDescent="0.2">
      <c r="B41" s="178" t="s">
        <v>70</v>
      </c>
      <c r="C41" s="155" t="s">
        <v>68</v>
      </c>
      <c r="D41" s="177">
        <f>INDEX('Referenčne količine'!$B$37:$G$47,MATCH(B41,('Referenčne količine'!$B$37:$B$47),0),MATCH($D$6,'Referenčne količine'!$B$5:$G$5,0))</f>
        <v>16698.496999999999</v>
      </c>
    </row>
    <row r="42" spans="2:12" x14ac:dyDescent="0.2">
      <c r="B42" s="13" t="s">
        <v>71</v>
      </c>
      <c r="C42" s="14"/>
      <c r="D42" s="15"/>
    </row>
    <row r="43" spans="2:12" x14ac:dyDescent="0.2">
      <c r="B43" s="181" t="s">
        <v>72</v>
      </c>
      <c r="C43" s="159" t="s">
        <v>68</v>
      </c>
      <c r="D43" s="177">
        <f>INDEX('Referenčne količine'!$B$48:$G$49,MATCH(B43,('Referenčne količine'!$B$48:$B$49),0),MATCH($D$6,'Referenčne količine'!$B$5:$G$5,0))</f>
        <v>6291</v>
      </c>
      <c r="E43" s="102"/>
      <c r="F43" s="102"/>
      <c r="G43" s="102"/>
      <c r="H43" s="102"/>
      <c r="I43" s="102"/>
      <c r="J43" s="102"/>
      <c r="K43" s="102"/>
      <c r="L43" s="87"/>
    </row>
    <row r="44" spans="2:12" x14ac:dyDescent="0.2">
      <c r="B44" s="16" t="s">
        <v>73</v>
      </c>
      <c r="C44" s="17"/>
      <c r="D44" s="18"/>
    </row>
    <row r="45" spans="2:12" x14ac:dyDescent="0.2">
      <c r="B45" s="182" t="s">
        <v>74</v>
      </c>
      <c r="C45" s="163" t="s">
        <v>68</v>
      </c>
      <c r="D45" s="177">
        <f>INDEX('Referenčne količine'!$B$50:$G$52,MATCH(B45,('Referenčne količine'!$B$50:$B$52),0),MATCH($D$6,'Referenčne količine'!$B$5:$G$5,0))</f>
        <v>37851.450000000004</v>
      </c>
      <c r="E45" s="102"/>
      <c r="F45" s="102"/>
      <c r="G45" s="102"/>
      <c r="H45" s="102"/>
      <c r="I45" s="102"/>
      <c r="J45" s="102"/>
      <c r="K45" s="102"/>
      <c r="L45" s="102"/>
    </row>
    <row r="46" spans="2:12" ht="13.5" thickBot="1" x14ac:dyDescent="0.25">
      <c r="B46" s="183" t="s">
        <v>284</v>
      </c>
      <c r="C46" s="184" t="s">
        <v>68</v>
      </c>
      <c r="D46" s="185">
        <f>INDEX('Referenčne količine'!$B$50:$G$52,MATCH(B46,('Referenčne količine'!$B$50:$B$52),0),MATCH($D$6,'Referenčne količine'!$B$5:$G$5,0))</f>
        <v>44296.000833792132</v>
      </c>
    </row>
    <row r="47" spans="2:12" x14ac:dyDescent="0.2">
      <c r="E47" s="102"/>
      <c r="F47" s="102"/>
      <c r="G47" s="102"/>
      <c r="H47" s="102"/>
      <c r="I47" s="102"/>
      <c r="J47" s="102"/>
      <c r="K47" s="102"/>
      <c r="L47" s="102"/>
    </row>
    <row r="54" spans="2:16" ht="16.5" thickBot="1" x14ac:dyDescent="0.3">
      <c r="B54" s="39" t="s">
        <v>304</v>
      </c>
      <c r="C54" s="102"/>
      <c r="D54" s="102"/>
      <c r="E54" s="102"/>
      <c r="F54" s="102"/>
      <c r="G54" s="102"/>
      <c r="H54" s="39" t="s">
        <v>91</v>
      </c>
      <c r="I54" s="102"/>
      <c r="J54" s="102"/>
      <c r="K54" s="102"/>
      <c r="L54" s="102"/>
      <c r="M54" s="102"/>
      <c r="N54" s="35"/>
      <c r="O54" s="35"/>
      <c r="P54" s="35"/>
    </row>
    <row r="55" spans="2:16" ht="15" customHeight="1" x14ac:dyDescent="0.25">
      <c r="B55" s="1168" t="s">
        <v>92</v>
      </c>
      <c r="C55" s="1169"/>
      <c r="D55" s="1169"/>
      <c r="E55" s="1170"/>
      <c r="F55" s="102"/>
      <c r="G55" s="102"/>
      <c r="H55" s="1171" t="s">
        <v>93</v>
      </c>
      <c r="I55" s="1172"/>
      <c r="J55" s="1173"/>
      <c r="K55" s="102"/>
      <c r="L55" s="102"/>
      <c r="M55" s="102"/>
      <c r="N55" s="1156"/>
      <c r="O55" s="1156"/>
      <c r="P55" s="1156"/>
    </row>
    <row r="56" spans="2:16" ht="15" customHeight="1" x14ac:dyDescent="0.25">
      <c r="B56" s="187" t="s">
        <v>306</v>
      </c>
      <c r="C56" s="508" t="str">
        <f>D11</f>
        <v>ZP</v>
      </c>
      <c r="D56" s="122" t="s">
        <v>64</v>
      </c>
      <c r="E56" s="29">
        <f>SUM(J83:M83)</f>
        <v>0</v>
      </c>
      <c r="F56" s="102"/>
      <c r="G56" s="102"/>
      <c r="H56" s="25" t="s">
        <v>95</v>
      </c>
      <c r="I56" s="26" t="s">
        <v>96</v>
      </c>
      <c r="J56" s="27" t="s">
        <v>97</v>
      </c>
      <c r="K56" s="102"/>
      <c r="L56" s="102"/>
      <c r="M56" s="102"/>
      <c r="N56" s="35"/>
      <c r="O56" s="35"/>
      <c r="P56" s="35"/>
    </row>
    <row r="57" spans="2:16" ht="15" customHeight="1" x14ac:dyDescent="0.25">
      <c r="B57" s="187" t="s">
        <v>307</v>
      </c>
      <c r="C57" s="508" t="s">
        <v>99</v>
      </c>
      <c r="D57" s="122" t="s">
        <v>64</v>
      </c>
      <c r="E57" s="29">
        <f>SUM(J84:M84)</f>
        <v>0</v>
      </c>
      <c r="F57" s="102"/>
      <c r="G57" s="102"/>
      <c r="H57" s="28">
        <v>1</v>
      </c>
      <c r="I57" s="23">
        <f t="shared" ref="I57:I71" si="0">$E$88</f>
        <v>44296.000833792132</v>
      </c>
      <c r="J57" s="24">
        <f t="shared" ref="J57:J71" si="1">I57/((1+$J$74)^H57)</f>
        <v>42592.308494030891</v>
      </c>
      <c r="K57" s="102"/>
      <c r="L57" s="102"/>
      <c r="M57" s="102"/>
      <c r="N57" s="35"/>
      <c r="O57" s="35"/>
      <c r="P57" s="35"/>
    </row>
    <row r="58" spans="2:16" ht="15" customHeight="1" x14ac:dyDescent="0.25">
      <c r="B58" s="187" t="s">
        <v>308</v>
      </c>
      <c r="C58" s="509" t="s">
        <v>31</v>
      </c>
      <c r="D58" s="122" t="s">
        <v>64</v>
      </c>
      <c r="E58" s="29">
        <f>SUM(J85:M85)</f>
        <v>0</v>
      </c>
      <c r="F58" s="102"/>
      <c r="G58" s="102"/>
      <c r="H58" s="28">
        <v>2</v>
      </c>
      <c r="I58" s="23">
        <f t="shared" si="0"/>
        <v>44296.000833792132</v>
      </c>
      <c r="J58" s="24">
        <f t="shared" si="1"/>
        <v>40954.14278272201</v>
      </c>
      <c r="K58" s="102"/>
      <c r="L58" s="102"/>
      <c r="M58" s="102"/>
      <c r="N58" s="35"/>
      <c r="O58" s="35"/>
      <c r="P58" s="35"/>
    </row>
    <row r="59" spans="2:16" ht="15" customHeight="1" x14ac:dyDescent="0.25">
      <c r="B59" s="527" t="s">
        <v>318</v>
      </c>
      <c r="C59" s="530"/>
      <c r="D59" s="99" t="s">
        <v>64</v>
      </c>
      <c r="E59" s="531">
        <f>SUM(E56:E58)</f>
        <v>0</v>
      </c>
      <c r="F59" s="102"/>
      <c r="G59" s="102"/>
      <c r="H59" s="28">
        <v>3</v>
      </c>
      <c r="I59" s="23">
        <f t="shared" si="0"/>
        <v>44296.000833792132</v>
      </c>
      <c r="J59" s="24">
        <f t="shared" si="1"/>
        <v>39378.983444925012</v>
      </c>
      <c r="K59" s="102"/>
      <c r="L59" s="102"/>
      <c r="M59" s="102"/>
      <c r="N59" s="35"/>
      <c r="O59" s="35"/>
      <c r="P59" s="35"/>
    </row>
    <row r="60" spans="2:16" ht="15" customHeight="1" x14ac:dyDescent="0.25">
      <c r="B60" s="527" t="s">
        <v>322</v>
      </c>
      <c r="C60" s="530"/>
      <c r="D60" s="99" t="s">
        <v>64</v>
      </c>
      <c r="E60" s="531">
        <f>N87</f>
        <v>0</v>
      </c>
      <c r="F60" s="102"/>
      <c r="G60" s="102"/>
      <c r="H60" s="28">
        <v>4</v>
      </c>
      <c r="I60" s="23">
        <f t="shared" si="0"/>
        <v>44296.000833792132</v>
      </c>
      <c r="J60" s="24">
        <f t="shared" si="1"/>
        <v>37864.407158581736</v>
      </c>
      <c r="K60" s="102"/>
      <c r="L60" s="102"/>
      <c r="M60" s="102"/>
      <c r="N60" s="35"/>
      <c r="O60" s="35"/>
      <c r="P60" s="35"/>
    </row>
    <row r="61" spans="2:16" ht="15" customHeight="1" x14ac:dyDescent="0.25">
      <c r="B61" s="187" t="s">
        <v>309</v>
      </c>
      <c r="C61" s="508" t="str">
        <f>C56</f>
        <v>ZP</v>
      </c>
      <c r="D61" s="122" t="s">
        <v>66</v>
      </c>
      <c r="E61" s="186">
        <f>D26</f>
        <v>100</v>
      </c>
      <c r="F61" s="102"/>
      <c r="G61" s="102"/>
      <c r="H61" s="28">
        <v>5</v>
      </c>
      <c r="I61" s="23">
        <f t="shared" si="0"/>
        <v>44296.000833792132</v>
      </c>
      <c r="J61" s="24">
        <f t="shared" si="1"/>
        <v>36408.083806328592</v>
      </c>
      <c r="K61" s="102"/>
      <c r="L61" s="102"/>
      <c r="M61" s="102"/>
      <c r="N61" s="35"/>
      <c r="O61" s="35"/>
      <c r="P61" s="35"/>
    </row>
    <row r="62" spans="2:16" ht="15" customHeight="1" x14ac:dyDescent="0.25">
      <c r="B62" s="187" t="s">
        <v>310</v>
      </c>
      <c r="C62" s="508" t="str">
        <f>C57</f>
        <v>EE za TČ</v>
      </c>
      <c r="D62" s="122" t="s">
        <v>66</v>
      </c>
      <c r="E62" s="186">
        <f>D38</f>
        <v>167</v>
      </c>
      <c r="F62" s="102"/>
      <c r="G62" s="102"/>
      <c r="H62" s="28">
        <v>6</v>
      </c>
      <c r="I62" s="23">
        <f t="shared" si="0"/>
        <v>44296.000833792132</v>
      </c>
      <c r="J62" s="24">
        <f t="shared" si="1"/>
        <v>35007.772890700566</v>
      </c>
      <c r="K62" s="102"/>
      <c r="L62" s="102"/>
      <c r="M62" s="102"/>
      <c r="N62" s="35"/>
      <c r="O62" s="35"/>
      <c r="P62" s="35"/>
    </row>
    <row r="63" spans="2:16" ht="15" customHeight="1" x14ac:dyDescent="0.25">
      <c r="B63" s="187" t="s">
        <v>311</v>
      </c>
      <c r="C63" s="509" t="str">
        <f>C58</f>
        <v>*vpiši</v>
      </c>
      <c r="D63" s="122" t="s">
        <v>66</v>
      </c>
      <c r="E63" s="186">
        <v>0</v>
      </c>
      <c r="F63" s="102"/>
      <c r="G63" s="102"/>
      <c r="H63" s="28">
        <v>7</v>
      </c>
      <c r="I63" s="23">
        <f t="shared" si="0"/>
        <v>44296.000833792132</v>
      </c>
      <c r="J63" s="24">
        <f t="shared" si="1"/>
        <v>33661.320087212087</v>
      </c>
      <c r="K63" s="102"/>
      <c r="L63" s="102"/>
      <c r="M63" s="102"/>
      <c r="N63" s="35"/>
      <c r="O63" s="35"/>
      <c r="P63" s="35"/>
    </row>
    <row r="64" spans="2:16" ht="15" customHeight="1" x14ac:dyDescent="0.25">
      <c r="B64" s="187" t="s">
        <v>292</v>
      </c>
      <c r="C64" s="509"/>
      <c r="D64" s="122" t="s">
        <v>66</v>
      </c>
      <c r="E64" s="186">
        <f>IFERROR(E70/E60*1000,0)</f>
        <v>0</v>
      </c>
      <c r="F64" s="102"/>
      <c r="G64" s="102"/>
      <c r="H64" s="28">
        <v>8</v>
      </c>
      <c r="I64" s="23">
        <f t="shared" si="0"/>
        <v>44296.000833792132</v>
      </c>
      <c r="J64" s="24">
        <f t="shared" si="1"/>
        <v>32366.653930011616</v>
      </c>
      <c r="K64" s="102"/>
      <c r="L64" s="102"/>
      <c r="M64" s="102"/>
      <c r="N64" s="35"/>
      <c r="O64" s="35"/>
      <c r="P64" s="35"/>
    </row>
    <row r="65" spans="2:16" ht="15" customHeight="1" x14ac:dyDescent="0.25">
      <c r="B65" s="187" t="s">
        <v>312</v>
      </c>
      <c r="C65" s="508" t="str">
        <f>C56</f>
        <v>ZP</v>
      </c>
      <c r="D65" s="122" t="s">
        <v>64</v>
      </c>
      <c r="E65" s="30">
        <f>D14-E56</f>
        <v>213065.03833792129</v>
      </c>
      <c r="F65" s="102"/>
      <c r="G65" s="102"/>
      <c r="H65" s="28">
        <v>9</v>
      </c>
      <c r="I65" s="23">
        <f t="shared" si="0"/>
        <v>44296.000833792132</v>
      </c>
      <c r="J65" s="24">
        <f t="shared" si="1"/>
        <v>31121.782625011168</v>
      </c>
      <c r="K65" s="102"/>
      <c r="L65" s="102"/>
      <c r="M65" s="102"/>
      <c r="N65" s="35"/>
      <c r="O65" s="35"/>
      <c r="P65" s="35"/>
    </row>
    <row r="66" spans="2:16" ht="15" customHeight="1" x14ac:dyDescent="0.25">
      <c r="B66" s="187" t="s">
        <v>313</v>
      </c>
      <c r="C66" s="508" t="str">
        <f>C57</f>
        <v>EE za TČ</v>
      </c>
      <c r="D66" s="122" t="s">
        <v>64</v>
      </c>
      <c r="E66" s="30">
        <f>(-1)*E57</f>
        <v>0</v>
      </c>
      <c r="F66" s="102"/>
      <c r="G66" s="102"/>
      <c r="H66" s="28">
        <v>10</v>
      </c>
      <c r="I66" s="23">
        <f t="shared" si="0"/>
        <v>44296.000833792132</v>
      </c>
      <c r="J66" s="24">
        <f t="shared" si="1"/>
        <v>29924.790985587661</v>
      </c>
      <c r="K66" s="102"/>
      <c r="L66" s="102"/>
      <c r="M66" s="102"/>
      <c r="N66" s="35"/>
      <c r="O66" s="35"/>
      <c r="P66" s="35"/>
    </row>
    <row r="67" spans="2:16" ht="15" customHeight="1" x14ac:dyDescent="0.25">
      <c r="B67" s="187" t="s">
        <v>314</v>
      </c>
      <c r="C67" s="508" t="str">
        <f>C58</f>
        <v>*vpiši</v>
      </c>
      <c r="D67" s="122" t="s">
        <v>64</v>
      </c>
      <c r="E67" s="30">
        <f>(-1)*E58</f>
        <v>0</v>
      </c>
      <c r="F67" s="102"/>
      <c r="G67" s="102"/>
      <c r="H67" s="28">
        <v>11</v>
      </c>
      <c r="I67" s="23">
        <f t="shared" si="0"/>
        <v>44296.000833792132</v>
      </c>
      <c r="J67" s="24">
        <f t="shared" si="1"/>
        <v>28773.837486141983</v>
      </c>
      <c r="K67" s="102"/>
      <c r="L67" s="102"/>
      <c r="M67" s="102"/>
      <c r="N67" s="35"/>
      <c r="O67" s="35"/>
      <c r="P67" s="35"/>
    </row>
    <row r="68" spans="2:16" ht="15" customHeight="1" x14ac:dyDescent="0.25">
      <c r="B68" s="527" t="s">
        <v>317</v>
      </c>
      <c r="C68" s="528"/>
      <c r="D68" s="99" t="s">
        <v>64</v>
      </c>
      <c r="E68" s="529">
        <f>SUM(E65:E67)</f>
        <v>213065.03833792129</v>
      </c>
      <c r="F68" s="102"/>
      <c r="G68" s="102"/>
      <c r="H68" s="28">
        <v>12</v>
      </c>
      <c r="I68" s="23">
        <f t="shared" si="0"/>
        <v>44296.000833792132</v>
      </c>
      <c r="J68" s="24">
        <f t="shared" si="1"/>
        <v>27667.15142898267</v>
      </c>
      <c r="K68" s="102"/>
      <c r="L68" s="102"/>
      <c r="M68" s="102"/>
      <c r="N68" s="35"/>
      <c r="O68" s="35"/>
      <c r="P68" s="35"/>
    </row>
    <row r="69" spans="2:16" ht="15" customHeight="1" x14ac:dyDescent="0.25">
      <c r="B69" s="527" t="s">
        <v>323</v>
      </c>
      <c r="C69" s="528"/>
      <c r="D69" s="99" t="s">
        <v>64</v>
      </c>
      <c r="E69" s="529">
        <f>D21-E60</f>
        <v>191758.43450412917</v>
      </c>
      <c r="F69" s="102"/>
      <c r="G69" s="102"/>
      <c r="H69" s="28">
        <v>13</v>
      </c>
      <c r="I69" s="23">
        <f t="shared" si="0"/>
        <v>44296.000833792132</v>
      </c>
      <c r="J69" s="24">
        <f t="shared" si="1"/>
        <v>26603.030220175646</v>
      </c>
      <c r="K69" s="102"/>
      <c r="L69" s="102"/>
      <c r="M69" s="102"/>
      <c r="N69" s="35"/>
      <c r="O69" s="35"/>
      <c r="P69" s="35"/>
    </row>
    <row r="70" spans="2:16" ht="15" customHeight="1" x14ac:dyDescent="0.25">
      <c r="B70" s="187" t="s">
        <v>315</v>
      </c>
      <c r="C70" s="188"/>
      <c r="D70" s="122" t="s">
        <v>68</v>
      </c>
      <c r="E70" s="179">
        <f>(E56*E61+E57*E62+E58*E63)/1000</f>
        <v>0</v>
      </c>
      <c r="F70" s="102"/>
      <c r="G70" s="102"/>
      <c r="H70" s="28">
        <v>14</v>
      </c>
      <c r="I70" s="23">
        <f t="shared" si="0"/>
        <v>44296.000833792132</v>
      </c>
      <c r="J70" s="24">
        <f t="shared" si="1"/>
        <v>25579.836750168888</v>
      </c>
      <c r="K70" s="102"/>
      <c r="L70" s="102"/>
      <c r="M70" s="102"/>
      <c r="N70" s="35"/>
      <c r="O70" s="35"/>
      <c r="P70" s="35"/>
    </row>
    <row r="71" spans="2:16" ht="15" customHeight="1" x14ac:dyDescent="0.25">
      <c r="B71" s="527" t="s">
        <v>101</v>
      </c>
      <c r="C71" s="532"/>
      <c r="D71" s="99" t="s">
        <v>68</v>
      </c>
      <c r="E71" s="65">
        <f>D30-E70</f>
        <v>21306.503833792129</v>
      </c>
      <c r="F71" s="779"/>
      <c r="G71" s="102"/>
      <c r="H71" s="28">
        <v>15</v>
      </c>
      <c r="I71" s="23">
        <f t="shared" si="0"/>
        <v>44296.000833792132</v>
      </c>
      <c r="J71" s="24">
        <f t="shared" si="1"/>
        <v>24595.996875162393</v>
      </c>
      <c r="K71" s="102"/>
      <c r="L71" s="1088"/>
      <c r="M71" s="102"/>
      <c r="N71" s="1156"/>
      <c r="O71" s="1156"/>
      <c r="P71" s="35"/>
    </row>
    <row r="72" spans="2:16" ht="15" customHeight="1" thickBot="1" x14ac:dyDescent="0.3">
      <c r="B72" s="189" t="s">
        <v>108</v>
      </c>
      <c r="C72" s="190"/>
      <c r="D72" s="191" t="s">
        <v>102</v>
      </c>
      <c r="E72" s="192">
        <f>E71/D30</f>
        <v>1</v>
      </c>
      <c r="F72" s="102"/>
      <c r="G72" s="102"/>
      <c r="H72" s="1174" t="s">
        <v>105</v>
      </c>
      <c r="I72" s="1175"/>
      <c r="J72" s="52">
        <f>SUM(J57:J71)</f>
        <v>492500.09896574292</v>
      </c>
      <c r="K72" s="102"/>
      <c r="L72" s="102"/>
      <c r="M72" s="102"/>
      <c r="N72" s="1156"/>
      <c r="O72" s="1156"/>
      <c r="P72" s="1156"/>
    </row>
    <row r="73" spans="2:16" ht="15" customHeight="1" thickBot="1" x14ac:dyDescent="0.3">
      <c r="B73" s="193"/>
      <c r="C73" s="193"/>
      <c r="D73" s="193"/>
      <c r="E73" s="193"/>
      <c r="F73" s="102"/>
      <c r="G73" s="102"/>
      <c r="H73" s="1176"/>
      <c r="I73" s="1177"/>
      <c r="J73" s="1178"/>
      <c r="K73" s="102"/>
      <c r="L73" s="102"/>
      <c r="M73" s="102"/>
      <c r="N73" s="35"/>
      <c r="O73" s="35"/>
      <c r="P73" s="35"/>
    </row>
    <row r="74" spans="2:16" ht="15" customHeight="1" thickBot="1" x14ac:dyDescent="0.3">
      <c r="B74" s="517" t="s">
        <v>103</v>
      </c>
      <c r="C74" s="518"/>
      <c r="D74" s="518"/>
      <c r="E74" s="519"/>
      <c r="F74" s="102"/>
      <c r="G74" s="102"/>
      <c r="H74" s="196" t="s">
        <v>107</v>
      </c>
      <c r="I74" s="197"/>
      <c r="J74" s="198">
        <v>0.04</v>
      </c>
      <c r="K74" s="102"/>
      <c r="L74" s="102"/>
      <c r="M74" s="102"/>
      <c r="N74" s="35"/>
      <c r="O74" s="35"/>
      <c r="P74" s="35"/>
    </row>
    <row r="75" spans="2:16" ht="15" customHeight="1" x14ac:dyDescent="0.25">
      <c r="B75" s="194" t="s">
        <v>316</v>
      </c>
      <c r="C75" s="195" t="s">
        <v>43</v>
      </c>
      <c r="D75" s="195" t="s">
        <v>64</v>
      </c>
      <c r="E75" s="30">
        <f>SUM(I90:K90)</f>
        <v>0</v>
      </c>
      <c r="F75" s="102"/>
      <c r="G75" s="102"/>
      <c r="H75" s="102"/>
      <c r="I75" s="102"/>
      <c r="J75" s="102"/>
      <c r="K75" s="102"/>
      <c r="L75" s="102"/>
      <c r="M75" s="102"/>
      <c r="N75" s="35"/>
      <c r="O75" s="35"/>
      <c r="P75" s="35"/>
    </row>
    <row r="76" spans="2:16" ht="15" x14ac:dyDescent="0.25">
      <c r="B76" s="194" t="s">
        <v>65</v>
      </c>
      <c r="C76" s="195" t="str">
        <f>C75</f>
        <v>EE</v>
      </c>
      <c r="D76" s="195" t="s">
        <v>66</v>
      </c>
      <c r="E76" s="186">
        <f>D38</f>
        <v>167</v>
      </c>
      <c r="F76" s="102"/>
      <c r="G76" s="102"/>
      <c r="H76" s="102"/>
      <c r="I76" s="102"/>
      <c r="J76" s="102"/>
      <c r="K76" s="102"/>
      <c r="L76" s="102"/>
      <c r="M76" s="102"/>
      <c r="N76" s="35"/>
      <c r="O76" s="35"/>
      <c r="P76" s="35"/>
    </row>
    <row r="77" spans="2:16" ht="15" customHeight="1" x14ac:dyDescent="0.25">
      <c r="B77" s="194" t="s">
        <v>104</v>
      </c>
      <c r="C77" s="195" t="str">
        <f>C75</f>
        <v>EE</v>
      </c>
      <c r="D77" s="195" t="s">
        <v>64</v>
      </c>
      <c r="E77" s="30">
        <f>D34-E75</f>
        <v>99991</v>
      </c>
      <c r="F77" s="102"/>
      <c r="G77" s="102"/>
      <c r="H77" s="102"/>
      <c r="I77" s="102"/>
      <c r="J77" s="102"/>
      <c r="K77" s="102"/>
      <c r="L77" s="102"/>
      <c r="M77" s="102"/>
      <c r="N77" s="35"/>
      <c r="O77" s="35"/>
      <c r="P77" s="35"/>
    </row>
    <row r="78" spans="2:16" ht="30" customHeight="1" x14ac:dyDescent="0.25">
      <c r="B78" s="194" t="s">
        <v>106</v>
      </c>
      <c r="C78" s="195" t="s">
        <v>43</v>
      </c>
      <c r="D78" s="195" t="s">
        <v>68</v>
      </c>
      <c r="E78" s="179">
        <f>E75*E76/1000</f>
        <v>0</v>
      </c>
      <c r="F78" s="102"/>
      <c r="G78" s="102"/>
      <c r="H78" s="102"/>
      <c r="O78" s="35"/>
      <c r="P78" s="35"/>
    </row>
    <row r="79" spans="2:16" ht="30" customHeight="1" x14ac:dyDescent="0.25">
      <c r="B79" s="194" t="s">
        <v>101</v>
      </c>
      <c r="C79" s="195" t="str">
        <f>C78</f>
        <v>EE</v>
      </c>
      <c r="D79" s="195" t="s">
        <v>68</v>
      </c>
      <c r="E79" s="179">
        <f>D41-E78</f>
        <v>16698.496999999999</v>
      </c>
      <c r="F79" s="102"/>
      <c r="G79" s="102"/>
      <c r="H79" s="102"/>
      <c r="I79" s="102"/>
      <c r="J79" s="102"/>
      <c r="K79" s="102"/>
      <c r="L79" s="102"/>
      <c r="M79" s="102"/>
      <c r="N79" s="1156"/>
      <c r="O79" s="1156"/>
      <c r="P79" s="1156"/>
    </row>
    <row r="80" spans="2:16" ht="30" customHeight="1" thickBot="1" x14ac:dyDescent="0.3">
      <c r="B80" s="199" t="s">
        <v>108</v>
      </c>
      <c r="C80" s="200" t="str">
        <f>C78</f>
        <v>EE</v>
      </c>
      <c r="D80" s="200" t="s">
        <v>102</v>
      </c>
      <c r="E80" s="192">
        <f>E79/D41</f>
        <v>1</v>
      </c>
      <c r="F80" s="102"/>
      <c r="G80" s="102"/>
      <c r="H80" s="39" t="s">
        <v>294</v>
      </c>
      <c r="N80" s="35"/>
      <c r="O80" s="35"/>
      <c r="P80" s="35"/>
    </row>
    <row r="81" spans="2:16" ht="15.75" thickBot="1" x14ac:dyDescent="0.3">
      <c r="B81" s="193"/>
      <c r="C81" s="193"/>
      <c r="D81" s="193"/>
      <c r="E81" s="193"/>
      <c r="F81" s="102"/>
      <c r="G81" s="102"/>
      <c r="H81" s="102" t="s">
        <v>333</v>
      </c>
      <c r="I81" s="102"/>
      <c r="J81" s="102"/>
      <c r="K81" s="102"/>
      <c r="L81" s="102"/>
      <c r="M81" s="102"/>
      <c r="N81" s="35"/>
      <c r="O81" s="35"/>
      <c r="P81" s="35"/>
    </row>
    <row r="82" spans="2:16" ht="15.75" thickBot="1" x14ac:dyDescent="0.3">
      <c r="B82" s="520" t="s">
        <v>71</v>
      </c>
      <c r="C82" s="521"/>
      <c r="D82" s="521"/>
      <c r="E82" s="522"/>
      <c r="F82" s="102"/>
      <c r="G82" s="102"/>
      <c r="H82" s="504" t="s">
        <v>332</v>
      </c>
      <c r="I82" s="501" t="s">
        <v>63</v>
      </c>
      <c r="J82" s="501" t="s">
        <v>113</v>
      </c>
      <c r="K82" s="501" t="s">
        <v>114</v>
      </c>
      <c r="L82" s="501" t="s">
        <v>115</v>
      </c>
      <c r="M82" s="1087" t="s">
        <v>382</v>
      </c>
      <c r="N82" s="745" t="s">
        <v>296</v>
      </c>
      <c r="O82" s="35"/>
      <c r="P82" s="35"/>
    </row>
    <row r="83" spans="2:16" ht="23.25" customHeight="1" x14ac:dyDescent="0.25">
      <c r="B83" s="513" t="s">
        <v>109</v>
      </c>
      <c r="C83" s="514"/>
      <c r="D83" s="201" t="s">
        <v>68</v>
      </c>
      <c r="E83" s="744">
        <v>0</v>
      </c>
      <c r="F83" s="102"/>
      <c r="G83" s="102"/>
      <c r="H83" s="487" t="s">
        <v>94</v>
      </c>
      <c r="I83" s="526" t="s">
        <v>37</v>
      </c>
      <c r="J83" s="1063"/>
      <c r="K83" s="1063"/>
      <c r="L83" s="1063"/>
      <c r="M83" s="1064"/>
      <c r="N83" s="767">
        <f>SUM(J83:M83)</f>
        <v>0</v>
      </c>
      <c r="O83" s="35"/>
      <c r="P83" s="35"/>
    </row>
    <row r="84" spans="2:16" ht="15" customHeight="1" x14ac:dyDescent="0.25">
      <c r="B84" s="513" t="s">
        <v>110</v>
      </c>
      <c r="C84" s="514"/>
      <c r="D84" s="201" t="s">
        <v>68</v>
      </c>
      <c r="E84" s="179">
        <f>D43-E83</f>
        <v>6291</v>
      </c>
      <c r="F84" s="102"/>
      <c r="G84" s="102"/>
      <c r="H84" s="171" t="s">
        <v>98</v>
      </c>
      <c r="I84" s="1066" t="s">
        <v>99</v>
      </c>
      <c r="J84" s="1063"/>
      <c r="K84" s="1063"/>
      <c r="L84" s="1063"/>
      <c r="M84" s="1064"/>
      <c r="N84" s="1065">
        <f>SUM(J84:M84)</f>
        <v>0</v>
      </c>
      <c r="O84" s="35"/>
      <c r="P84" s="35"/>
    </row>
    <row r="85" spans="2:16" ht="27" thickBot="1" x14ac:dyDescent="0.3">
      <c r="B85" s="515" t="s">
        <v>111</v>
      </c>
      <c r="C85" s="516"/>
      <c r="D85" s="202" t="s">
        <v>102</v>
      </c>
      <c r="E85" s="192">
        <f>E84/D43</f>
        <v>1</v>
      </c>
      <c r="F85" s="102"/>
      <c r="G85" s="102"/>
      <c r="H85" s="204" t="s">
        <v>100</v>
      </c>
      <c r="I85" s="533"/>
      <c r="J85" s="775"/>
      <c r="K85" s="775"/>
      <c r="L85" s="775"/>
      <c r="M85" s="716"/>
      <c r="N85" s="510"/>
      <c r="O85" s="35"/>
      <c r="P85" s="35"/>
    </row>
    <row r="86" spans="2:16" ht="15.75" thickBot="1" x14ac:dyDescent="0.3">
      <c r="B86" s="193"/>
      <c r="C86" s="193"/>
      <c r="D86" s="193"/>
      <c r="E86" s="193"/>
      <c r="F86" s="102"/>
      <c r="G86" s="102"/>
      <c r="H86" s="768" t="s">
        <v>397</v>
      </c>
      <c r="I86" s="769"/>
      <c r="J86" s="770">
        <f>SUM(J83:J85)</f>
        <v>0</v>
      </c>
      <c r="K86" s="770">
        <f>SUM(K83:K85)</f>
        <v>0</v>
      </c>
      <c r="L86" s="770">
        <f>SUM(L84:L85)</f>
        <v>0</v>
      </c>
      <c r="M86" s="770">
        <f>SUM(M84:M85)</f>
        <v>0</v>
      </c>
      <c r="N86" s="770">
        <f>SUM(N83:N85)</f>
        <v>0</v>
      </c>
      <c r="O86" s="35"/>
      <c r="P86" s="35"/>
    </row>
    <row r="87" spans="2:16" ht="25.5" customHeight="1" thickBot="1" x14ac:dyDescent="0.3">
      <c r="B87" s="523" t="s">
        <v>112</v>
      </c>
      <c r="C87" s="524"/>
      <c r="D87" s="524"/>
      <c r="E87" s="525"/>
      <c r="F87" s="102"/>
      <c r="G87" s="102"/>
      <c r="H87" s="506" t="s">
        <v>390</v>
      </c>
      <c r="I87" s="766" t="s">
        <v>62</v>
      </c>
      <c r="J87" s="776"/>
      <c r="K87" s="776"/>
      <c r="L87" s="776"/>
      <c r="M87" s="777"/>
      <c r="N87" s="511">
        <f>J87+K87+L87+M87</f>
        <v>0</v>
      </c>
      <c r="O87" s="35"/>
      <c r="P87" s="35"/>
    </row>
    <row r="88" spans="2:16" ht="15" customHeight="1" thickBot="1" x14ac:dyDescent="0.3">
      <c r="B88" s="64" t="s">
        <v>116</v>
      </c>
      <c r="C88" s="63"/>
      <c r="D88" s="21" t="s">
        <v>68</v>
      </c>
      <c r="E88" s="65">
        <f>E71+E79+E84</f>
        <v>44296.000833792132</v>
      </c>
      <c r="F88" s="102"/>
      <c r="G88" s="102"/>
      <c r="N88" s="35"/>
      <c r="O88" s="35"/>
      <c r="P88" s="35"/>
    </row>
    <row r="89" spans="2:16" ht="15" customHeight="1" x14ac:dyDescent="0.25">
      <c r="B89" s="59" t="s">
        <v>117</v>
      </c>
      <c r="C89" s="60"/>
      <c r="D89" s="21" t="s">
        <v>102</v>
      </c>
      <c r="E89" s="98">
        <f>E88/D46</f>
        <v>1</v>
      </c>
      <c r="F89" s="102"/>
      <c r="G89" s="102"/>
      <c r="H89" s="20" t="s">
        <v>119</v>
      </c>
      <c r="I89" s="205" t="s">
        <v>120</v>
      </c>
      <c r="J89" s="205" t="s">
        <v>300</v>
      </c>
      <c r="K89" s="206" t="s">
        <v>240</v>
      </c>
      <c r="L89" s="206" t="s">
        <v>296</v>
      </c>
      <c r="N89" s="35"/>
      <c r="O89" s="35"/>
      <c r="P89" s="35"/>
    </row>
    <row r="90" spans="2:16" ht="15" customHeight="1" thickBot="1" x14ac:dyDescent="0.3">
      <c r="B90" s="61" t="s">
        <v>118</v>
      </c>
      <c r="C90" s="62"/>
      <c r="D90" s="22" t="s">
        <v>68</v>
      </c>
      <c r="E90" s="31">
        <f>J72</f>
        <v>492500.09896574292</v>
      </c>
      <c r="F90" s="102"/>
      <c r="G90" s="102"/>
      <c r="H90" s="207" t="s">
        <v>43</v>
      </c>
      <c r="I90" s="124"/>
      <c r="J90" s="124"/>
      <c r="K90" s="125"/>
      <c r="L90" s="512">
        <f>I90+J90+K90</f>
        <v>0</v>
      </c>
      <c r="M90" s="35"/>
      <c r="N90" s="35"/>
      <c r="O90" s="534"/>
      <c r="P90" s="35"/>
    </row>
    <row r="91" spans="2:16" ht="15" customHeight="1" x14ac:dyDescent="0.25">
      <c r="B91" s="102"/>
      <c r="C91" s="102"/>
      <c r="D91" s="102"/>
      <c r="E91" s="102"/>
      <c r="F91" s="102"/>
      <c r="G91" s="102"/>
      <c r="H91" s="35"/>
      <c r="I91" s="35"/>
      <c r="J91" s="35"/>
      <c r="K91" s="35"/>
      <c r="L91" s="35"/>
      <c r="M91" s="35"/>
      <c r="N91" s="35"/>
      <c r="O91" s="35"/>
      <c r="P91" s="35"/>
    </row>
    <row r="92" spans="2:16" ht="15" x14ac:dyDescent="0.25">
      <c r="B92" s="102"/>
      <c r="C92" s="102"/>
      <c r="D92" s="102"/>
      <c r="E92" s="102"/>
      <c r="F92" s="102"/>
      <c r="G92" s="102"/>
      <c r="H92" s="102"/>
      <c r="I92" s="102"/>
      <c r="J92" s="102"/>
      <c r="K92" s="102"/>
      <c r="L92" s="102"/>
      <c r="M92" s="102"/>
      <c r="N92" s="35"/>
      <c r="O92" s="35"/>
      <c r="P92" s="35"/>
    </row>
    <row r="93" spans="2:16" ht="25.5" customHeight="1" x14ac:dyDescent="0.25">
      <c r="B93" s="102"/>
      <c r="C93" s="102"/>
      <c r="D93" s="102"/>
      <c r="E93" s="102"/>
      <c r="F93" s="102"/>
      <c r="G93" s="102"/>
      <c r="H93" s="102"/>
      <c r="I93" s="102"/>
      <c r="J93" s="102"/>
      <c r="K93" s="102"/>
      <c r="L93" s="102"/>
      <c r="M93" s="102"/>
      <c r="N93" s="35"/>
      <c r="O93" s="35"/>
      <c r="P93" s="35"/>
    </row>
    <row r="94" spans="2:16" ht="15" x14ac:dyDescent="0.25">
      <c r="B94" s="102"/>
      <c r="C94" s="102"/>
      <c r="D94" s="102"/>
      <c r="E94" s="102"/>
      <c r="F94" s="102"/>
      <c r="G94" s="102"/>
      <c r="H94" s="102"/>
      <c r="I94" s="102"/>
      <c r="J94" s="102"/>
      <c r="K94" s="102"/>
      <c r="L94" s="102"/>
      <c r="M94" s="102"/>
      <c r="N94" s="35"/>
      <c r="O94" s="35"/>
      <c r="P94" s="35"/>
    </row>
    <row r="95" spans="2:16" ht="15" x14ac:dyDescent="0.25">
      <c r="B95" s="102"/>
      <c r="C95" s="102"/>
      <c r="D95" s="102"/>
      <c r="E95" s="102"/>
      <c r="F95" s="102"/>
      <c r="G95" s="102"/>
      <c r="H95" s="102"/>
      <c r="I95" s="102"/>
      <c r="J95" s="102"/>
      <c r="K95" s="102"/>
      <c r="L95" s="102"/>
      <c r="M95" s="102"/>
      <c r="N95" s="35"/>
      <c r="O95" s="35"/>
      <c r="P95" s="35"/>
    </row>
    <row r="96" spans="2:16" ht="15" x14ac:dyDescent="0.25">
      <c r="B96" s="102"/>
      <c r="C96" s="102"/>
      <c r="D96" s="102"/>
      <c r="E96" s="102"/>
      <c r="F96" s="102"/>
      <c r="G96" s="102"/>
      <c r="H96" s="102"/>
      <c r="I96" s="102"/>
      <c r="J96" s="102"/>
      <c r="K96" s="102"/>
      <c r="L96" s="102"/>
      <c r="M96" s="102"/>
      <c r="N96" s="35"/>
      <c r="O96" s="35"/>
      <c r="P96" s="35"/>
    </row>
    <row r="97" spans="2:16" ht="15" x14ac:dyDescent="0.25">
      <c r="B97" s="102"/>
      <c r="C97" s="102"/>
      <c r="D97" s="102"/>
      <c r="E97" s="102"/>
      <c r="F97" s="102"/>
      <c r="G97" s="102"/>
      <c r="H97" s="102"/>
      <c r="I97" s="102"/>
      <c r="J97" s="102"/>
      <c r="K97" s="102"/>
      <c r="L97" s="102"/>
      <c r="M97" s="102"/>
      <c r="N97" s="1156"/>
      <c r="O97" s="1156"/>
      <c r="P97" s="35"/>
    </row>
    <row r="98" spans="2:16" ht="15" x14ac:dyDescent="0.25">
      <c r="B98" s="102"/>
      <c r="C98" s="102"/>
      <c r="D98" s="102"/>
      <c r="E98" s="102"/>
      <c r="F98" s="102"/>
      <c r="G98" s="102"/>
      <c r="H98" s="102"/>
      <c r="I98" s="102"/>
      <c r="J98" s="102"/>
      <c r="K98" s="102"/>
      <c r="L98" s="102"/>
      <c r="M98" s="102"/>
      <c r="N98" s="1156"/>
      <c r="O98" s="1156"/>
      <c r="P98" s="1156"/>
    </row>
    <row r="99" spans="2:16" ht="15" x14ac:dyDescent="0.25">
      <c r="B99" s="102"/>
      <c r="C99" s="102"/>
      <c r="D99" s="102"/>
      <c r="E99" s="102"/>
      <c r="F99" s="102"/>
      <c r="G99" s="102"/>
      <c r="H99" s="102"/>
      <c r="I99" s="102"/>
      <c r="J99" s="102"/>
      <c r="K99" s="102"/>
      <c r="L99" s="102"/>
      <c r="M99" s="102"/>
      <c r="N99" s="35"/>
      <c r="O99" s="35"/>
      <c r="P99" s="35"/>
    </row>
    <row r="100" spans="2:16" ht="15.75" x14ac:dyDescent="0.25">
      <c r="B100" s="39" t="s">
        <v>305</v>
      </c>
      <c r="C100" s="102"/>
      <c r="D100" s="542"/>
      <c r="E100" s="102"/>
      <c r="F100" s="102"/>
      <c r="G100" s="102"/>
      <c r="H100" s="102"/>
      <c r="I100" s="102"/>
      <c r="J100" s="102"/>
      <c r="K100" s="102"/>
      <c r="L100" s="102"/>
      <c r="M100" s="102"/>
      <c r="N100" s="35"/>
      <c r="O100" s="35"/>
      <c r="P100" s="35"/>
    </row>
    <row r="101" spans="2:16" ht="15.75" x14ac:dyDescent="0.25">
      <c r="B101" s="39"/>
      <c r="C101" s="102"/>
      <c r="D101" s="102"/>
      <c r="E101" s="102"/>
      <c r="F101" s="102"/>
      <c r="G101" s="102"/>
      <c r="H101" s="102"/>
      <c r="I101" s="102"/>
      <c r="J101" s="102"/>
      <c r="K101" s="102"/>
      <c r="L101" s="102"/>
      <c r="M101" s="102"/>
      <c r="N101" s="35"/>
      <c r="O101" s="35"/>
      <c r="P101" s="35"/>
    </row>
    <row r="102" spans="2:16" ht="16.5" thickBot="1" x14ac:dyDescent="0.3">
      <c r="B102" s="603" t="s">
        <v>295</v>
      </c>
      <c r="C102" s="102"/>
      <c r="D102" s="102"/>
      <c r="E102" s="102"/>
      <c r="F102" s="102"/>
      <c r="G102" s="102"/>
      <c r="H102" s="102"/>
      <c r="I102" s="102"/>
      <c r="J102" s="102"/>
      <c r="K102" s="102"/>
      <c r="L102" s="102"/>
      <c r="M102" s="102"/>
      <c r="N102" s="35"/>
      <c r="O102" s="35"/>
      <c r="P102" s="35"/>
    </row>
    <row r="103" spans="2:16" ht="38.25" x14ac:dyDescent="0.25">
      <c r="B103" s="604" t="s">
        <v>302</v>
      </c>
      <c r="C103" s="605" t="s">
        <v>437</v>
      </c>
      <c r="D103" s="605" t="s">
        <v>122</v>
      </c>
      <c r="E103" s="606" t="s">
        <v>297</v>
      </c>
      <c r="F103" s="606" t="s">
        <v>298</v>
      </c>
      <c r="G103" s="102"/>
      <c r="H103" s="102"/>
      <c r="I103" s="102"/>
      <c r="J103" s="102"/>
      <c r="K103" s="102"/>
      <c r="L103" s="102"/>
      <c r="M103" s="102"/>
      <c r="N103" s="35"/>
      <c r="O103" s="35"/>
      <c r="P103" s="35"/>
    </row>
    <row r="104" spans="2:16" ht="15" x14ac:dyDescent="0.25">
      <c r="B104" s="607" t="s">
        <v>295</v>
      </c>
      <c r="C104" s="608">
        <v>18.459890025796799</v>
      </c>
      <c r="D104" s="609">
        <v>3000</v>
      </c>
      <c r="E104" s="610">
        <f>C104*D104</f>
        <v>55379.670077390394</v>
      </c>
      <c r="F104" s="610">
        <f>E104*$D$12/$D$19</f>
        <v>61533.003524759275</v>
      </c>
      <c r="G104" s="102"/>
      <c r="H104" s="102"/>
      <c r="I104" s="102"/>
      <c r="J104" s="102"/>
      <c r="K104" s="102"/>
      <c r="L104" s="102"/>
      <c r="M104" s="102"/>
      <c r="N104" s="35"/>
      <c r="O104" s="35"/>
      <c r="P104" s="35"/>
    </row>
    <row r="105" spans="2:16" ht="15" x14ac:dyDescent="0.25">
      <c r="B105" s="607"/>
      <c r="C105" s="611"/>
      <c r="D105" s="609"/>
      <c r="E105" s="610"/>
      <c r="F105" s="610"/>
      <c r="G105" s="102"/>
      <c r="H105" s="102"/>
      <c r="I105" s="102"/>
      <c r="J105" s="102"/>
      <c r="K105" s="102"/>
      <c r="L105" s="102"/>
      <c r="M105" s="102"/>
      <c r="N105" s="35"/>
      <c r="O105" s="35"/>
      <c r="P105" s="35"/>
    </row>
    <row r="106" spans="2:16" ht="38.25" x14ac:dyDescent="0.25">
      <c r="B106" s="612" t="s">
        <v>299</v>
      </c>
      <c r="C106" s="148" t="s">
        <v>437</v>
      </c>
      <c r="D106" s="148" t="s">
        <v>122</v>
      </c>
      <c r="E106" s="613" t="s">
        <v>297</v>
      </c>
      <c r="F106" s="613" t="s">
        <v>298</v>
      </c>
      <c r="G106" s="102"/>
      <c r="H106" s="102"/>
      <c r="I106" s="102"/>
      <c r="J106" s="102"/>
      <c r="K106" s="102"/>
      <c r="L106" s="544"/>
      <c r="M106" s="545"/>
      <c r="N106" s="35"/>
      <c r="O106" s="35"/>
      <c r="P106" s="35"/>
    </row>
    <row r="107" spans="2:16" ht="15" x14ac:dyDescent="0.25">
      <c r="B107" s="607" t="s">
        <v>295</v>
      </c>
      <c r="C107" s="608"/>
      <c r="D107" s="609">
        <f>D104</f>
        <v>3000</v>
      </c>
      <c r="E107" s="610">
        <f>C107*D107</f>
        <v>0</v>
      </c>
      <c r="F107" s="610">
        <f>$L$83+$L$84</f>
        <v>0</v>
      </c>
      <c r="G107" s="102"/>
      <c r="H107" s="614"/>
      <c r="I107" s="535"/>
      <c r="J107" s="102"/>
      <c r="K107" s="102"/>
      <c r="L107" s="543"/>
      <c r="M107" s="102"/>
      <c r="N107" s="35"/>
      <c r="O107" s="35"/>
      <c r="P107" s="35"/>
    </row>
    <row r="108" spans="2:16" ht="15" x14ac:dyDescent="0.25">
      <c r="B108" s="607"/>
      <c r="C108" s="611"/>
      <c r="D108" s="609"/>
      <c r="E108" s="610"/>
      <c r="F108" s="610"/>
      <c r="G108" s="102"/>
      <c r="H108" s="102"/>
      <c r="I108" s="102"/>
      <c r="J108" s="102"/>
      <c r="K108" s="102"/>
      <c r="L108" s="102"/>
      <c r="M108" s="102"/>
      <c r="N108" s="35"/>
      <c r="O108" s="35"/>
      <c r="P108" s="35"/>
    </row>
    <row r="109" spans="2:16" ht="51" x14ac:dyDescent="0.25">
      <c r="B109" s="612" t="s">
        <v>96</v>
      </c>
      <c r="C109" s="1157"/>
      <c r="D109" s="1158"/>
      <c r="E109" s="613" t="s">
        <v>319</v>
      </c>
      <c r="F109" s="613" t="s">
        <v>320</v>
      </c>
      <c r="G109" s="102"/>
      <c r="H109" s="102"/>
      <c r="I109" s="102"/>
      <c r="J109" s="102"/>
      <c r="K109" s="102"/>
      <c r="L109" s="102"/>
      <c r="M109" s="102"/>
      <c r="N109" s="35"/>
      <c r="O109" s="35"/>
      <c r="P109" s="35"/>
    </row>
    <row r="110" spans="2:16" ht="15" x14ac:dyDescent="0.25">
      <c r="B110" s="607" t="s">
        <v>295</v>
      </c>
      <c r="C110" s="1159"/>
      <c r="D110" s="1160"/>
      <c r="E110" s="610">
        <f>E104-E107</f>
        <v>55379.670077390394</v>
      </c>
      <c r="F110" s="610">
        <f>F104-F107</f>
        <v>61533.003524759275</v>
      </c>
      <c r="G110" s="102"/>
      <c r="H110" s="102"/>
      <c r="I110" s="102"/>
      <c r="J110" s="102"/>
      <c r="K110" s="102"/>
      <c r="L110" s="102"/>
      <c r="M110" s="102"/>
      <c r="N110" s="35"/>
      <c r="O110" s="35"/>
      <c r="P110" s="35"/>
    </row>
    <row r="111" spans="2:16" ht="15.75" thickBot="1" x14ac:dyDescent="0.3">
      <c r="B111" s="615"/>
      <c r="C111" s="1161"/>
      <c r="D111" s="1162"/>
      <c r="E111" s="616"/>
      <c r="F111" s="616"/>
      <c r="G111" s="102"/>
      <c r="H111" s="102"/>
      <c r="I111" s="102"/>
      <c r="J111" s="102"/>
      <c r="K111" s="102"/>
      <c r="L111" s="102"/>
      <c r="M111" s="102"/>
      <c r="N111" s="35"/>
      <c r="O111" s="35"/>
      <c r="P111" s="35"/>
    </row>
    <row r="112" spans="2:16" ht="15" x14ac:dyDescent="0.25">
      <c r="B112" s="617"/>
      <c r="C112" s="617"/>
      <c r="D112" s="102"/>
      <c r="E112" s="102"/>
      <c r="F112" s="102"/>
      <c r="G112" s="102"/>
      <c r="H112" s="102"/>
      <c r="I112" s="102"/>
      <c r="J112" s="102"/>
      <c r="K112" s="102"/>
      <c r="L112" s="102"/>
      <c r="M112" s="102"/>
      <c r="N112" s="35"/>
      <c r="O112" s="35"/>
      <c r="P112" s="35"/>
    </row>
    <row r="113" spans="2:16" ht="15.75" x14ac:dyDescent="0.25">
      <c r="B113" s="603"/>
      <c r="C113" s="102"/>
      <c r="D113" s="102"/>
      <c r="E113" s="102"/>
      <c r="F113" s="102"/>
      <c r="G113" s="102"/>
      <c r="H113" s="102"/>
      <c r="I113" s="102"/>
      <c r="J113" s="102"/>
      <c r="K113" s="102"/>
      <c r="L113" s="102"/>
      <c r="M113" s="102"/>
      <c r="N113" s="35"/>
      <c r="O113" s="35"/>
      <c r="P113" s="35"/>
    </row>
    <row r="114" spans="2:16" ht="15.75" x14ac:dyDescent="0.25">
      <c r="B114" s="603"/>
      <c r="C114" s="102"/>
      <c r="D114" s="102"/>
      <c r="E114" s="102"/>
      <c r="F114" s="102"/>
      <c r="G114" s="102"/>
      <c r="H114" s="102"/>
      <c r="I114" s="102"/>
      <c r="J114" s="102"/>
      <c r="K114" s="102"/>
      <c r="L114" s="102"/>
      <c r="M114" s="102"/>
      <c r="N114" s="35"/>
      <c r="O114" s="35"/>
      <c r="P114" s="35"/>
    </row>
    <row r="115" spans="2:16" ht="21.75" customHeight="1" thickBot="1" x14ac:dyDescent="0.25">
      <c r="B115" s="603" t="s">
        <v>120</v>
      </c>
      <c r="C115" s="102"/>
      <c r="D115" s="102"/>
      <c r="E115" s="102"/>
      <c r="F115" s="102"/>
      <c r="G115" s="102"/>
      <c r="H115" s="102"/>
      <c r="I115" s="102"/>
      <c r="J115" s="102"/>
      <c r="K115" s="102"/>
      <c r="L115" s="102"/>
      <c r="M115" s="102"/>
      <c r="N115" s="102"/>
      <c r="O115" s="102"/>
      <c r="P115" s="102"/>
    </row>
    <row r="116" spans="2:16" ht="38.25" x14ac:dyDescent="0.2">
      <c r="B116" s="604" t="s">
        <v>302</v>
      </c>
      <c r="C116" s="605" t="s">
        <v>121</v>
      </c>
      <c r="D116" s="605" t="s">
        <v>122</v>
      </c>
      <c r="E116" s="606" t="s">
        <v>301</v>
      </c>
      <c r="F116" s="102"/>
      <c r="G116" s="102"/>
      <c r="H116" s="102"/>
      <c r="I116" s="102"/>
      <c r="J116" s="102"/>
      <c r="K116" s="102"/>
      <c r="L116" s="102"/>
      <c r="M116" s="102"/>
      <c r="N116" s="102"/>
      <c r="O116" s="102"/>
      <c r="P116" s="102"/>
    </row>
    <row r="117" spans="2:16" x14ac:dyDescent="0.2">
      <c r="B117" s="607" t="s">
        <v>123</v>
      </c>
      <c r="C117" s="608">
        <v>16.5</v>
      </c>
      <c r="D117" s="609">
        <v>2500</v>
      </c>
      <c r="E117" s="610">
        <f>C117*D117</f>
        <v>41250</v>
      </c>
      <c r="F117" s="102"/>
      <c r="G117" s="102"/>
      <c r="H117" s="102"/>
      <c r="I117" s="102"/>
      <c r="J117" s="102"/>
      <c r="K117" s="102"/>
      <c r="L117" s="102"/>
      <c r="M117" s="102"/>
      <c r="N117" s="102"/>
      <c r="O117" s="102"/>
      <c r="P117" s="102"/>
    </row>
    <row r="118" spans="2:16" x14ac:dyDescent="0.2">
      <c r="B118" s="607"/>
      <c r="C118" s="611"/>
      <c r="D118" s="609"/>
      <c r="E118" s="610"/>
      <c r="F118" s="102"/>
      <c r="G118" s="102"/>
      <c r="H118" s="102"/>
      <c r="I118" s="102"/>
      <c r="J118" s="102"/>
      <c r="K118" s="102"/>
      <c r="L118" s="102"/>
      <c r="M118" s="102"/>
      <c r="N118" s="102"/>
      <c r="O118" s="102"/>
      <c r="P118" s="102"/>
    </row>
    <row r="119" spans="2:16" ht="38.25" x14ac:dyDescent="0.2">
      <c r="B119" s="612" t="s">
        <v>124</v>
      </c>
      <c r="C119" s="148" t="s">
        <v>121</v>
      </c>
      <c r="D119" s="148" t="s">
        <v>122</v>
      </c>
      <c r="E119" s="613" t="s">
        <v>301</v>
      </c>
      <c r="F119" s="102"/>
      <c r="G119" s="102"/>
      <c r="H119" s="102"/>
      <c r="I119" s="102"/>
      <c r="J119" s="102"/>
      <c r="K119" s="102"/>
      <c r="L119" s="102"/>
      <c r="M119" s="102"/>
      <c r="N119" s="102"/>
      <c r="O119" s="102"/>
      <c r="P119" s="102"/>
    </row>
    <row r="120" spans="2:16" x14ac:dyDescent="0.2">
      <c r="B120" s="607" t="s">
        <v>123</v>
      </c>
      <c r="C120" s="608"/>
      <c r="D120" s="609">
        <f>D117</f>
        <v>2500</v>
      </c>
      <c r="E120" s="610">
        <f>C120*D120</f>
        <v>0</v>
      </c>
      <c r="F120" s="102"/>
      <c r="G120" s="102"/>
      <c r="H120" s="552"/>
      <c r="I120" s="102"/>
      <c r="J120" s="102"/>
      <c r="K120" s="102"/>
      <c r="L120" s="102"/>
      <c r="M120" s="102"/>
      <c r="N120" s="102"/>
      <c r="O120" s="102"/>
      <c r="P120" s="102"/>
    </row>
    <row r="121" spans="2:16" x14ac:dyDescent="0.2">
      <c r="B121" s="607"/>
      <c r="C121" s="611"/>
      <c r="D121" s="609"/>
      <c r="E121" s="610"/>
      <c r="F121" s="102"/>
      <c r="G121" s="102"/>
      <c r="H121" s="102"/>
      <c r="I121" s="102"/>
      <c r="J121" s="102"/>
      <c r="K121" s="102"/>
      <c r="L121" s="102"/>
      <c r="M121" s="102"/>
      <c r="N121" s="102"/>
      <c r="O121" s="102"/>
      <c r="P121" s="102"/>
    </row>
    <row r="122" spans="2:16" ht="25.5" x14ac:dyDescent="0.2">
      <c r="B122" s="612" t="s">
        <v>96</v>
      </c>
      <c r="C122" s="1157"/>
      <c r="D122" s="1158"/>
      <c r="E122" s="168" t="s">
        <v>125</v>
      </c>
      <c r="F122" s="102"/>
      <c r="G122" s="102"/>
      <c r="H122" s="102"/>
      <c r="I122" s="102"/>
      <c r="J122" s="102"/>
      <c r="K122" s="102"/>
      <c r="L122" s="102"/>
      <c r="M122" s="102"/>
      <c r="N122" s="102"/>
      <c r="O122" s="102"/>
      <c r="P122" s="102"/>
    </row>
    <row r="123" spans="2:16" x14ac:dyDescent="0.2">
      <c r="B123" s="607" t="s">
        <v>123</v>
      </c>
      <c r="C123" s="1159"/>
      <c r="D123" s="1160"/>
      <c r="E123" s="610">
        <f>E117-E120</f>
        <v>41250</v>
      </c>
      <c r="F123" s="102"/>
      <c r="G123" s="102"/>
      <c r="H123" s="102"/>
      <c r="I123" s="102"/>
      <c r="J123" s="102"/>
      <c r="K123" s="102"/>
      <c r="L123" s="102"/>
      <c r="M123" s="102"/>
      <c r="N123" s="102"/>
      <c r="O123" s="102"/>
      <c r="P123" s="102"/>
    </row>
    <row r="124" spans="2:16" ht="13.5" thickBot="1" x14ac:dyDescent="0.25">
      <c r="B124" s="615"/>
      <c r="C124" s="1161"/>
      <c r="D124" s="1162"/>
      <c r="E124" s="616"/>
      <c r="F124" s="102"/>
      <c r="G124" s="102"/>
      <c r="H124" s="102"/>
      <c r="I124" s="102"/>
      <c r="J124" s="102"/>
      <c r="K124" s="102"/>
      <c r="L124" s="102"/>
      <c r="M124" s="102"/>
      <c r="N124" s="102"/>
      <c r="O124" s="102"/>
      <c r="P124" s="102"/>
    </row>
    <row r="125" spans="2:16" x14ac:dyDescent="0.2">
      <c r="B125" s="617"/>
      <c r="C125" s="617"/>
      <c r="D125" s="617"/>
      <c r="E125" s="102"/>
      <c r="F125" s="102"/>
      <c r="G125" s="102"/>
      <c r="H125" s="102"/>
      <c r="I125" s="102"/>
      <c r="J125" s="102"/>
      <c r="K125" s="102"/>
      <c r="L125" s="102"/>
      <c r="M125" s="102"/>
      <c r="N125" s="102"/>
      <c r="O125" s="102"/>
      <c r="P125" s="102"/>
    </row>
    <row r="126" spans="2:16" x14ac:dyDescent="0.2">
      <c r="B126" s="102"/>
      <c r="C126" s="102"/>
      <c r="D126" s="102"/>
      <c r="E126" s="102"/>
      <c r="F126" s="102"/>
      <c r="G126" s="102"/>
      <c r="H126" s="102"/>
    </row>
    <row r="127" spans="2:16" x14ac:dyDescent="0.2">
      <c r="B127" s="102"/>
      <c r="C127" s="102"/>
      <c r="D127" s="102"/>
      <c r="E127" s="102"/>
      <c r="F127" s="102"/>
      <c r="G127" s="102"/>
      <c r="H127" s="102"/>
    </row>
    <row r="128" spans="2:16" ht="16.5" thickBot="1" x14ac:dyDescent="0.25">
      <c r="B128" s="603"/>
      <c r="C128" s="102"/>
      <c r="D128" s="102"/>
      <c r="E128" s="102"/>
      <c r="F128" s="102"/>
      <c r="G128" s="102"/>
      <c r="H128" s="102"/>
    </row>
    <row r="129" spans="2:8" x14ac:dyDescent="0.2">
      <c r="B129" s="618"/>
      <c r="C129" s="619"/>
      <c r="D129" s="620"/>
      <c r="E129" s="606"/>
      <c r="F129" s="102"/>
      <c r="G129" s="102"/>
      <c r="H129" s="102"/>
    </row>
    <row r="130" spans="2:8" x14ac:dyDescent="0.2">
      <c r="B130" s="621"/>
      <c r="C130" s="622"/>
      <c r="D130" s="623"/>
      <c r="E130" s="624"/>
      <c r="F130" s="102"/>
      <c r="G130" s="102"/>
      <c r="H130" s="102"/>
    </row>
    <row r="131" spans="2:8" x14ac:dyDescent="0.2">
      <c r="B131" s="621"/>
      <c r="C131" s="622"/>
      <c r="D131" s="623"/>
      <c r="E131" s="610"/>
      <c r="F131" s="102"/>
      <c r="G131" s="102"/>
      <c r="H131" s="102"/>
    </row>
    <row r="132" spans="2:8" x14ac:dyDescent="0.2">
      <c r="B132" s="1072"/>
      <c r="C132" s="1073"/>
      <c r="D132" s="1074"/>
      <c r="E132" s="613"/>
      <c r="F132" s="102"/>
      <c r="G132" s="102"/>
      <c r="H132" s="102"/>
    </row>
    <row r="133" spans="2:8" x14ac:dyDescent="0.2">
      <c r="B133" s="621"/>
      <c r="C133" s="622"/>
      <c r="D133" s="623"/>
      <c r="E133" s="624"/>
      <c r="F133" s="102"/>
      <c r="G133" s="102"/>
      <c r="H133" s="102"/>
    </row>
    <row r="134" spans="2:8" x14ac:dyDescent="0.2">
      <c r="B134" s="621"/>
      <c r="C134" s="622"/>
      <c r="D134" s="623"/>
      <c r="E134" s="610"/>
      <c r="F134" s="102"/>
      <c r="G134" s="102"/>
      <c r="H134" s="102"/>
    </row>
    <row r="135" spans="2:8" x14ac:dyDescent="0.2">
      <c r="B135" s="1072"/>
      <c r="C135" s="1073"/>
      <c r="D135" s="1074"/>
      <c r="E135" s="168"/>
      <c r="F135" s="102"/>
      <c r="G135" s="102"/>
      <c r="H135" s="102"/>
    </row>
    <row r="136" spans="2:8" x14ac:dyDescent="0.2">
      <c r="B136" s="621"/>
      <c r="C136" s="622"/>
      <c r="D136" s="623"/>
      <c r="E136" s="610"/>
      <c r="F136" s="102"/>
      <c r="G136" s="102"/>
      <c r="H136" s="102"/>
    </row>
    <row r="137" spans="2:8" ht="13.5" thickBot="1" x14ac:dyDescent="0.25">
      <c r="B137" s="741"/>
      <c r="C137" s="743"/>
      <c r="D137" s="742"/>
      <c r="E137" s="616"/>
      <c r="F137" s="102"/>
      <c r="G137" s="102"/>
      <c r="H137" s="102"/>
    </row>
    <row r="138" spans="2:8" x14ac:dyDescent="0.2">
      <c r="B138" s="40"/>
      <c r="C138" s="40"/>
      <c r="D138" s="40"/>
    </row>
    <row r="141" spans="2:8" s="736" customFormat="1" ht="16.5" thickBot="1" x14ac:dyDescent="0.25">
      <c r="B141" s="734"/>
      <c r="C141" s="735"/>
      <c r="D141" s="735"/>
      <c r="E141" s="735"/>
    </row>
    <row r="142" spans="2:8" s="736" customFormat="1" x14ac:dyDescent="0.2">
      <c r="B142" s="618"/>
      <c r="C142" s="619"/>
      <c r="D142" s="620"/>
      <c r="E142" s="737"/>
      <c r="F142" s="606"/>
    </row>
    <row r="143" spans="2:8" s="736" customFormat="1" x14ac:dyDescent="0.2">
      <c r="B143" s="621"/>
      <c r="C143" s="622"/>
      <c r="D143" s="623"/>
      <c r="E143" s="624"/>
      <c r="F143" s="610"/>
    </row>
    <row r="144" spans="2:8" s="736" customFormat="1" x14ac:dyDescent="0.2">
      <c r="B144" s="621"/>
      <c r="C144" s="622"/>
      <c r="D144" s="623"/>
      <c r="E144" s="738"/>
      <c r="F144" s="610"/>
    </row>
    <row r="145" spans="2:6" s="736" customFormat="1" x14ac:dyDescent="0.2">
      <c r="B145" s="1072"/>
      <c r="C145" s="1073"/>
      <c r="D145" s="1074"/>
      <c r="E145" s="739"/>
      <c r="F145" s="613"/>
    </row>
    <row r="146" spans="2:6" s="736" customFormat="1" x14ac:dyDescent="0.2">
      <c r="B146" s="621"/>
      <c r="C146" s="622"/>
      <c r="D146" s="623"/>
      <c r="E146" s="624"/>
      <c r="F146" s="610"/>
    </row>
    <row r="147" spans="2:6" s="736" customFormat="1" x14ac:dyDescent="0.2">
      <c r="B147" s="621"/>
      <c r="C147" s="622"/>
      <c r="D147" s="623"/>
      <c r="E147" s="738"/>
      <c r="F147" s="610"/>
    </row>
    <row r="148" spans="2:6" s="736" customFormat="1" x14ac:dyDescent="0.2">
      <c r="B148" s="1072"/>
      <c r="C148" s="1073"/>
      <c r="D148" s="1074"/>
      <c r="E148" s="739"/>
      <c r="F148" s="613"/>
    </row>
    <row r="149" spans="2:6" s="736" customFormat="1" x14ac:dyDescent="0.2">
      <c r="B149" s="621"/>
      <c r="C149" s="622"/>
      <c r="D149" s="623"/>
      <c r="E149" s="738"/>
      <c r="F149" s="610"/>
    </row>
    <row r="150" spans="2:6" s="736" customFormat="1" ht="13.5" thickBot="1" x14ac:dyDescent="0.25">
      <c r="B150" s="741"/>
      <c r="C150" s="743"/>
      <c r="D150" s="742"/>
      <c r="E150" s="740"/>
      <c r="F150" s="616"/>
    </row>
  </sheetData>
  <mergeCells count="16">
    <mergeCell ref="N97:O97"/>
    <mergeCell ref="N98:P98"/>
    <mergeCell ref="C109:D111"/>
    <mergeCell ref="C122:D124"/>
    <mergeCell ref="N55:P55"/>
    <mergeCell ref="N71:O71"/>
    <mergeCell ref="H72:I72"/>
    <mergeCell ref="N72:P72"/>
    <mergeCell ref="H73:J73"/>
    <mergeCell ref="N79:P79"/>
    <mergeCell ref="B6:C6"/>
    <mergeCell ref="B7:C7"/>
    <mergeCell ref="B8:C8"/>
    <mergeCell ref="H12:J12"/>
    <mergeCell ref="B55:E55"/>
    <mergeCell ref="H55:J55"/>
  </mergeCells>
  <pageMargins left="0.70866141732283472" right="0.70866141732283472" top="0.74803149606299213" bottom="0.74803149606299213" header="0.31496062992125984" footer="0.31496062992125984"/>
  <pageSetup paperSize="9" scale="29" orientation="portrait" r:id="rId1"/>
  <headerFooter>
    <oddHeader>&amp;LProgram izvajanja koncesije "Celovita energetska prenova 7 objektov UKC LJ"&amp;R&amp;A</oddHeader>
    <oddFooter>&amp;RStran &amp;P / &amp;N</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505F930A-A2C8-4EDA-A4B9-F5F4A228D099}">
          <x14:formula1>
            <xm:f>'Osnovni podatki'!$B$6:$B$9</xm:f>
          </x14:formula1>
          <xm:sqref>D6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45A54-23A6-4571-AD85-3AB50278AC85}">
  <sheetPr>
    <pageSetUpPr fitToPage="1"/>
  </sheetPr>
  <dimension ref="B2:P150"/>
  <sheetViews>
    <sheetView showWhiteSpace="0" topLeftCell="A67" zoomScale="85" zoomScaleNormal="85" zoomScaleSheetLayoutView="85" workbookViewId="0">
      <selection activeCell="J115" sqref="J114:J115"/>
    </sheetView>
  </sheetViews>
  <sheetFormatPr defaultColWidth="9.140625" defaultRowHeight="12.75" x14ac:dyDescent="0.2"/>
  <cols>
    <col min="1" max="1" width="4.85546875" style="32" customWidth="1"/>
    <col min="2" max="2" width="61.42578125" style="32" bestFit="1" customWidth="1"/>
    <col min="3" max="3" width="11.140625" style="32" bestFit="1" customWidth="1"/>
    <col min="4" max="4" width="15" style="32" customWidth="1"/>
    <col min="5" max="5" width="17.28515625" style="32" customWidth="1"/>
    <col min="6" max="6" width="16.42578125" style="32" customWidth="1"/>
    <col min="7" max="7" width="3.7109375" style="32" customWidth="1"/>
    <col min="8" max="8" width="42.7109375" style="32" customWidth="1"/>
    <col min="9" max="13" width="17.7109375" style="32" customWidth="1"/>
    <col min="14" max="14" width="14.5703125" style="32" customWidth="1"/>
    <col min="15" max="15" width="9.140625" style="32"/>
    <col min="16" max="16" width="9.140625" style="32" customWidth="1"/>
    <col min="17" max="16384" width="9.140625" style="32"/>
  </cols>
  <sheetData>
    <row r="2" spans="2:15" ht="20.25" x14ac:dyDescent="0.2">
      <c r="B2" s="37" t="s">
        <v>81</v>
      </c>
      <c r="C2" s="102"/>
      <c r="D2" s="102"/>
      <c r="E2" s="102"/>
      <c r="F2" s="102"/>
      <c r="G2" s="102"/>
      <c r="H2" s="102"/>
      <c r="I2" s="102"/>
      <c r="J2" s="102"/>
      <c r="K2" s="102"/>
      <c r="L2" s="102"/>
      <c r="M2" s="102"/>
      <c r="N2" s="102"/>
      <c r="O2" s="102"/>
    </row>
    <row r="4" spans="2:15" ht="16.5" thickBot="1" x14ac:dyDescent="0.25">
      <c r="B4" s="39" t="s">
        <v>303</v>
      </c>
      <c r="C4" s="102"/>
      <c r="D4" s="102"/>
      <c r="E4" s="102"/>
      <c r="F4" s="102"/>
      <c r="G4" s="102"/>
      <c r="H4" s="102"/>
      <c r="I4" s="102"/>
      <c r="J4" s="102"/>
      <c r="K4" s="102"/>
      <c r="L4" s="102"/>
      <c r="M4" s="102"/>
      <c r="N4" s="102"/>
      <c r="O4" s="102"/>
    </row>
    <row r="5" spans="2:15" ht="15" customHeight="1" x14ac:dyDescent="0.2">
      <c r="B5" s="7" t="s">
        <v>82</v>
      </c>
      <c r="C5" s="165"/>
      <c r="D5" s="166"/>
      <c r="E5" s="102"/>
      <c r="F5" s="102"/>
      <c r="G5" s="102"/>
      <c r="H5" s="102"/>
      <c r="I5" s="102"/>
      <c r="J5" s="102"/>
      <c r="K5" s="102"/>
      <c r="L5" s="102"/>
      <c r="M5" s="102"/>
      <c r="N5" s="102"/>
      <c r="O5" s="102"/>
    </row>
    <row r="6" spans="2:15" ht="15" customHeight="1" x14ac:dyDescent="0.2">
      <c r="B6" s="1163" t="s">
        <v>51</v>
      </c>
      <c r="C6" s="1164"/>
      <c r="D6" s="167">
        <v>4</v>
      </c>
      <c r="E6" s="102"/>
      <c r="F6" s="102"/>
      <c r="G6" s="102"/>
      <c r="H6" s="102"/>
      <c r="I6" s="102"/>
      <c r="J6" s="102"/>
      <c r="K6" s="102"/>
      <c r="L6" s="102"/>
      <c r="M6" s="102"/>
      <c r="N6" s="102"/>
      <c r="O6" s="102"/>
    </row>
    <row r="7" spans="2:15" ht="15" customHeight="1" x14ac:dyDescent="0.2">
      <c r="B7" s="1163" t="s">
        <v>52</v>
      </c>
      <c r="C7" s="1164"/>
      <c r="D7" s="167" t="str">
        <f>INDEX('Referenčne količine'!$B$4:$G$15,MATCH(B7,('Referenčne količine'!$B$4:$B$15),0),MATCH($D$6,'Referenčne količine'!$B$5:$G$5,0))</f>
        <v>OB004</v>
      </c>
      <c r="E7" s="102"/>
      <c r="F7" s="102"/>
      <c r="G7" s="102"/>
      <c r="H7" s="102"/>
      <c r="I7" s="102"/>
      <c r="J7" s="102"/>
      <c r="K7" s="102"/>
      <c r="L7" s="102"/>
      <c r="M7" s="102"/>
      <c r="N7" s="102"/>
      <c r="O7" s="102"/>
    </row>
    <row r="8" spans="2:15" ht="39.950000000000003" customHeight="1" x14ac:dyDescent="0.2">
      <c r="B8" s="1163" t="s">
        <v>53</v>
      </c>
      <c r="C8" s="1164"/>
      <c r="D8" s="168" t="str">
        <f>INDEX('Referenčne količine'!$B$4:$G$15,MATCH(B8,('Referenčne količine'!$B$4:$B$15),0),MATCH($D$6,'Referenčne količine'!$B$5:$G$5,0))</f>
        <v>Zdravstveni dom Podpeč</v>
      </c>
      <c r="E8" s="102"/>
      <c r="F8" s="102"/>
      <c r="G8" s="102"/>
      <c r="H8" s="102"/>
      <c r="I8" s="102"/>
      <c r="J8" s="102"/>
      <c r="K8" s="102"/>
      <c r="L8" s="102"/>
      <c r="M8" s="102"/>
      <c r="N8" s="102"/>
      <c r="O8" s="102"/>
    </row>
    <row r="9" spans="2:15" ht="15" customHeight="1" x14ac:dyDescent="0.2">
      <c r="B9" s="6" t="s">
        <v>54</v>
      </c>
      <c r="C9" s="5" t="s">
        <v>55</v>
      </c>
      <c r="D9" s="29">
        <f>INDEX('Referenčne količine'!$B$4:$G$15,MATCH(B9,('Referenčne količine'!$B$4:$B$15),0),MATCH($D$6,'Referenčne količine'!$B$5:$G$5,0))</f>
        <v>548.5</v>
      </c>
      <c r="E9" s="102"/>
      <c r="F9" s="102"/>
      <c r="G9" s="102"/>
      <c r="H9" s="102"/>
      <c r="I9" s="102"/>
      <c r="J9" s="102"/>
      <c r="K9" s="102"/>
      <c r="L9" s="102"/>
      <c r="M9" s="102"/>
      <c r="N9" s="102"/>
      <c r="O9" s="102"/>
    </row>
    <row r="10" spans="2:15" ht="15" customHeight="1" thickBot="1" x14ac:dyDescent="0.25">
      <c r="B10" s="3" t="s">
        <v>83</v>
      </c>
      <c r="C10" s="8"/>
      <c r="D10" s="9"/>
      <c r="E10" s="102"/>
      <c r="F10" s="102"/>
      <c r="G10" s="102"/>
      <c r="H10" s="39" t="s">
        <v>84</v>
      </c>
      <c r="I10" s="102"/>
      <c r="J10" s="102"/>
      <c r="K10" s="102"/>
      <c r="L10" s="102"/>
      <c r="M10" s="102"/>
      <c r="N10" s="102"/>
      <c r="O10" s="102"/>
    </row>
    <row r="11" spans="2:15" ht="15" customHeight="1" x14ac:dyDescent="0.2">
      <c r="B11" s="169" t="s">
        <v>63</v>
      </c>
      <c r="C11" s="170"/>
      <c r="D11" s="167" t="str">
        <f>INDEX('Referenčne količine'!$B$16:$G$36,MATCH(B11,('Referenčne količine'!$B$16:$B$36),0),MATCH($D$6,'Referenčne količine'!$B$5:$G$5,0))</f>
        <v>UNP</v>
      </c>
      <c r="E11" s="102"/>
      <c r="F11" s="102"/>
      <c r="G11" s="102"/>
      <c r="H11" s="107" t="s">
        <v>84</v>
      </c>
      <c r="I11" s="108"/>
      <c r="J11" s="109"/>
      <c r="K11" s="50" t="str">
        <f>D7</f>
        <v>OB004</v>
      </c>
      <c r="L11" s="102"/>
      <c r="M11" s="102"/>
      <c r="N11" s="102"/>
      <c r="O11" s="102"/>
    </row>
    <row r="12" spans="2:15" ht="15" customHeight="1" x14ac:dyDescent="0.2">
      <c r="B12" s="171" t="s">
        <v>272</v>
      </c>
      <c r="C12" s="150" t="s">
        <v>64</v>
      </c>
      <c r="D12" s="29">
        <f>INDEX('Referenčne količine'!$B$16:$G$36,MATCH(B12,('Referenčne količine'!$B$16:$B$36),0),MATCH($D$6,'Referenčne količine'!$B$5:$G$5,0))</f>
        <v>75503</v>
      </c>
      <c r="E12" s="102"/>
      <c r="F12" s="102"/>
      <c r="G12" s="102"/>
      <c r="H12" s="1165" t="s">
        <v>85</v>
      </c>
      <c r="I12" s="1166"/>
      <c r="J12" s="1167"/>
      <c r="K12" s="51" t="s">
        <v>12</v>
      </c>
      <c r="L12" s="102"/>
      <c r="M12" s="102"/>
      <c r="N12" s="102"/>
      <c r="O12" s="242"/>
    </row>
    <row r="13" spans="2:15" ht="15" customHeight="1" x14ac:dyDescent="0.2">
      <c r="B13" s="171" t="s">
        <v>273</v>
      </c>
      <c r="C13" s="150" t="s">
        <v>64</v>
      </c>
      <c r="D13" s="29">
        <f>INDEX('Referenčne količine'!$B$16:$G$36,MATCH(B13,('Referenčne količine'!$B$16:$B$36),0),MATCH($D$6,'Referenčne količine'!$B$5:$G$5,0))</f>
        <v>4230.9046666943104</v>
      </c>
      <c r="E13" s="102"/>
      <c r="F13" s="102"/>
      <c r="G13" s="102"/>
      <c r="H13" s="208" t="s" cm="1">
        <v>453</v>
      </c>
      <c r="I13" s="209"/>
      <c r="J13" s="210"/>
      <c r="K13" s="172"/>
      <c r="L13" s="102"/>
      <c r="M13" s="102"/>
      <c r="N13" s="102"/>
      <c r="O13" s="102"/>
    </row>
    <row r="14" spans="2:15" ht="15" customHeight="1" x14ac:dyDescent="0.2">
      <c r="B14" s="171" t="s">
        <v>274</v>
      </c>
      <c r="C14" s="150" t="s">
        <v>64</v>
      </c>
      <c r="D14" s="29">
        <f>INDEX('Referenčne količine'!$B$16:$G$36,MATCH(B14,('Referenčne količine'!$B$16:$B$36),0),MATCH($D$6,'Referenčne količine'!$B$5:$G$5,0))</f>
        <v>79733.904666694318</v>
      </c>
      <c r="E14" s="102"/>
      <c r="F14" s="102"/>
      <c r="G14" s="102"/>
      <c r="H14" s="208" t="s">
        <v>454</v>
      </c>
      <c r="I14" s="209"/>
      <c r="J14" s="210"/>
      <c r="K14" s="172"/>
      <c r="L14" s="102"/>
      <c r="M14" s="102"/>
      <c r="N14" s="102"/>
      <c r="O14" s="102"/>
    </row>
    <row r="15" spans="2:15" ht="15" customHeight="1" x14ac:dyDescent="0.2">
      <c r="B15" s="171" t="s">
        <v>275</v>
      </c>
      <c r="C15" s="150" t="s">
        <v>64</v>
      </c>
      <c r="D15" s="29">
        <f>INDEX('Referenčne količine'!$B$16:$G$36,MATCH(B15,('Referenčne količine'!$B$16:$B$36),0),MATCH($D$6,'Referenčne količine'!$B$5:$G$5,0))</f>
        <v>68570.582639552915</v>
      </c>
      <c r="E15" s="102"/>
      <c r="F15" s="102"/>
      <c r="G15" s="102"/>
      <c r="H15" s="208" t="s">
        <v>455</v>
      </c>
      <c r="I15" s="209"/>
      <c r="J15" s="210"/>
      <c r="K15" s="172"/>
      <c r="L15" s="102"/>
      <c r="M15" s="102"/>
      <c r="N15" s="102"/>
      <c r="O15" s="102"/>
    </row>
    <row r="16" spans="2:15" ht="15" customHeight="1" x14ac:dyDescent="0.2">
      <c r="B16" s="171" t="s">
        <v>285</v>
      </c>
      <c r="C16" s="150" t="s">
        <v>64</v>
      </c>
      <c r="D16" s="29">
        <f>INDEX('Referenčne količine'!$B$16:$G$36,MATCH(B16,('Referenčne količine'!$B$16:$B$36),0),MATCH($D$6,'Referenčne količine'!$B$5:$G$5,0))</f>
        <v>0</v>
      </c>
      <c r="E16" s="102"/>
      <c r="F16" s="102"/>
      <c r="G16" s="102"/>
      <c r="H16" s="173" t="s">
        <v>463</v>
      </c>
      <c r="I16" s="174"/>
      <c r="J16" s="175"/>
      <c r="K16" s="172"/>
      <c r="L16" s="102"/>
      <c r="M16" s="102"/>
      <c r="N16" s="102"/>
      <c r="O16" s="102"/>
    </row>
    <row r="17" spans="2:15" ht="15" customHeight="1" x14ac:dyDescent="0.2">
      <c r="B17" s="171" t="s">
        <v>276</v>
      </c>
      <c r="C17" s="150" t="s">
        <v>64</v>
      </c>
      <c r="D17" s="29">
        <f>INDEX('Referenčne količine'!$B$16:$G$36,MATCH(B17,('Referenčne količine'!$B$16:$B$36),0),MATCH($D$6,'Referenčne količine'!$B$5:$G$5,0))</f>
        <v>11163.41979391827</v>
      </c>
      <c r="E17" s="102"/>
      <c r="F17" s="102"/>
      <c r="G17" s="102"/>
      <c r="H17" s="173" t="s">
        <v>457</v>
      </c>
      <c r="I17" s="174"/>
      <c r="J17" s="175"/>
      <c r="K17" s="172"/>
      <c r="L17" s="102"/>
      <c r="M17" s="102"/>
      <c r="N17" s="102"/>
      <c r="O17" s="102"/>
    </row>
    <row r="18" spans="2:15" ht="15" customHeight="1" thickBot="1" x14ac:dyDescent="0.25">
      <c r="B18" s="536"/>
      <c r="C18" s="482"/>
      <c r="D18" s="537"/>
      <c r="E18" s="102"/>
      <c r="F18" s="102"/>
      <c r="G18" s="102"/>
      <c r="H18" s="173"/>
      <c r="I18" s="174"/>
      <c r="J18" s="175"/>
      <c r="K18" s="172"/>
      <c r="L18" s="102"/>
      <c r="M18" s="102"/>
      <c r="N18" s="102"/>
      <c r="O18" s="102"/>
    </row>
    <row r="19" spans="2:15" ht="15" customHeight="1" x14ac:dyDescent="0.25">
      <c r="B19" s="487" t="s">
        <v>286</v>
      </c>
      <c r="C19" s="203" t="s">
        <v>64</v>
      </c>
      <c r="D19" s="540">
        <f>INDEX('Referenčne količine'!$B$16:$G$36,MATCH(B19,('Referenčne količine'!$B$16:$B$36),0),MATCH($D$6,'Referenčne količine'!$B$5:$G$5,0))</f>
        <v>61912</v>
      </c>
      <c r="E19" s="35"/>
      <c r="F19" s="102"/>
      <c r="G19" s="102"/>
      <c r="H19" s="173"/>
      <c r="I19" s="174"/>
      <c r="J19" s="175"/>
      <c r="K19" s="172"/>
      <c r="L19" s="102"/>
      <c r="M19" s="102"/>
      <c r="N19" s="102"/>
      <c r="O19" s="102"/>
    </row>
    <row r="20" spans="2:15" ht="15" customHeight="1" x14ac:dyDescent="0.2">
      <c r="B20" s="171" t="s">
        <v>287</v>
      </c>
      <c r="C20" s="150" t="s">
        <v>64</v>
      </c>
      <c r="D20" s="29">
        <f>INDEX('Referenčne količine'!$B$16:$G$36,MATCH(B20,('Referenčne količine'!$B$16:$B$36),0),MATCH($D$6,'Referenčne količine'!$B$5:$G$5,0))</f>
        <v>4230.9046666943104</v>
      </c>
      <c r="E20" s="102"/>
      <c r="F20" s="102"/>
      <c r="G20" s="102"/>
      <c r="H20" s="173"/>
      <c r="I20" s="174"/>
      <c r="J20" s="175"/>
      <c r="K20" s="172"/>
      <c r="L20" s="102"/>
      <c r="M20" s="102"/>
      <c r="N20" s="102"/>
      <c r="O20" s="102"/>
    </row>
    <row r="21" spans="2:15" ht="15" customHeight="1" x14ac:dyDescent="0.2">
      <c r="B21" s="4" t="s">
        <v>288</v>
      </c>
      <c r="C21" s="2" t="s">
        <v>64</v>
      </c>
      <c r="D21" s="531">
        <f>INDEX('Referenčne količine'!$B$16:$G$36,MATCH(B21,('Referenčne količine'!$B$16:$B$36),0),MATCH($D$6,'Referenčne količine'!$B$5:$G$5,0))</f>
        <v>66142.904666694318</v>
      </c>
      <c r="E21" s="102"/>
      <c r="F21" s="102"/>
      <c r="G21" s="102"/>
      <c r="H21" s="173"/>
      <c r="I21" s="174"/>
      <c r="J21" s="175"/>
      <c r="K21" s="172"/>
      <c r="L21" s="102"/>
      <c r="M21" s="102"/>
      <c r="N21" s="102"/>
      <c r="O21" s="102"/>
    </row>
    <row r="22" spans="2:15" ht="15" customHeight="1" x14ac:dyDescent="0.2">
      <c r="B22" s="171" t="s">
        <v>289</v>
      </c>
      <c r="C22" s="150" t="s">
        <v>64</v>
      </c>
      <c r="D22" s="29">
        <f>INDEX('Referenčne količine'!$B$16:$G$36,MATCH(B22,('Referenčne količine'!$B$16:$B$36),0),MATCH($D$6,'Referenčne količine'!$B$5:$G$5,0))</f>
        <v>56227.46</v>
      </c>
      <c r="E22" s="102"/>
      <c r="F22" s="102"/>
      <c r="G22" s="102"/>
      <c r="H22" s="173"/>
      <c r="I22" s="174"/>
      <c r="J22" s="175"/>
      <c r="K22" s="172"/>
      <c r="L22" s="102"/>
      <c r="M22" s="102"/>
      <c r="N22" s="102"/>
      <c r="O22" s="102"/>
    </row>
    <row r="23" spans="2:15" ht="15" customHeight="1" x14ac:dyDescent="0.2">
      <c r="B23" s="171" t="s">
        <v>290</v>
      </c>
      <c r="C23" s="150" t="s">
        <v>64</v>
      </c>
      <c r="D23" s="29">
        <f>INDEX('Referenčne količine'!$B$16:$G$36,MATCH(B23,('Referenčne količine'!$B$16:$B$36),0),MATCH($D$6,'Referenčne količine'!$B$5:$G$5,0))</f>
        <v>0</v>
      </c>
      <c r="E23" s="102"/>
      <c r="F23" s="102"/>
      <c r="G23" s="102"/>
      <c r="H23" s="104"/>
      <c r="I23" s="105"/>
      <c r="J23" s="106"/>
      <c r="K23" s="172"/>
      <c r="L23" s="102"/>
      <c r="M23" s="97"/>
      <c r="N23" s="102"/>
      <c r="O23" s="102"/>
    </row>
    <row r="24" spans="2:15" ht="15" customHeight="1" x14ac:dyDescent="0.2">
      <c r="B24" s="171" t="s">
        <v>291</v>
      </c>
      <c r="C24" s="150" t="s">
        <v>64</v>
      </c>
      <c r="D24" s="29">
        <f>INDEX('Referenčne količine'!$B$16:$G$36,MATCH(B24,('Referenčne količine'!$B$16:$B$36),0),MATCH($D$6,'Referenčne količine'!$B$5:$G$5,0))</f>
        <v>9153.9362181776614</v>
      </c>
      <c r="E24" s="102"/>
      <c r="F24" s="102"/>
      <c r="G24" s="102"/>
      <c r="H24" s="104"/>
      <c r="I24" s="105"/>
      <c r="J24" s="106"/>
      <c r="K24" s="172"/>
      <c r="L24" s="102"/>
      <c r="M24" s="102"/>
      <c r="N24" s="102"/>
      <c r="O24" s="102"/>
    </row>
    <row r="25" spans="2:15" ht="15" customHeight="1" thickBot="1" x14ac:dyDescent="0.25">
      <c r="B25" s="204"/>
      <c r="C25" s="217"/>
      <c r="D25" s="541"/>
      <c r="E25" s="102"/>
      <c r="F25" s="102"/>
      <c r="G25" s="102"/>
      <c r="H25" s="104"/>
      <c r="I25" s="105"/>
      <c r="J25" s="106"/>
      <c r="K25" s="172"/>
      <c r="L25" s="102"/>
      <c r="M25" s="102"/>
      <c r="N25" s="102"/>
      <c r="O25" s="102"/>
    </row>
    <row r="26" spans="2:15" ht="15" customHeight="1" x14ac:dyDescent="0.2">
      <c r="B26" s="538" t="s">
        <v>268</v>
      </c>
      <c r="C26" s="486" t="s">
        <v>66</v>
      </c>
      <c r="D26" s="539">
        <f>INDEX('Referenčne količine'!$B$16:$G$36,MATCH(B26,('Referenčne količine'!$B$16:$B$36),0),MATCH($D$6,'Referenčne količine'!$B$5:$G$5,0))</f>
        <v>105.0000662225342</v>
      </c>
      <c r="E26" s="102"/>
      <c r="F26" s="102"/>
      <c r="G26" s="102"/>
      <c r="H26" s="104"/>
      <c r="I26" s="105"/>
      <c r="J26" s="106"/>
      <c r="K26" s="172"/>
      <c r="L26" s="102"/>
      <c r="M26" s="102"/>
      <c r="N26" s="102"/>
      <c r="O26" s="102"/>
    </row>
    <row r="27" spans="2:15" ht="15" customHeight="1" x14ac:dyDescent="0.2">
      <c r="B27" s="171" t="s">
        <v>292</v>
      </c>
      <c r="C27" s="150" t="s">
        <v>66</v>
      </c>
      <c r="D27" s="176">
        <f>INDEX('Referenčne količine'!$B$16:$G$36,MATCH(B27,('Referenčne količine'!$B$16:$B$36),0),MATCH($D$6,'Referenčne količine'!$B$5:$G$5,0))</f>
        <v>128.04981263729161</v>
      </c>
      <c r="E27" s="102"/>
      <c r="F27" s="102"/>
      <c r="G27" s="102"/>
      <c r="H27" s="104"/>
      <c r="I27" s="105"/>
      <c r="J27" s="106"/>
      <c r="K27" s="172"/>
      <c r="L27" s="102"/>
      <c r="M27" s="127"/>
      <c r="N27" s="102"/>
      <c r="O27" s="102"/>
    </row>
    <row r="28" spans="2:15" ht="15" customHeight="1" x14ac:dyDescent="0.2">
      <c r="B28" s="171" t="s">
        <v>67</v>
      </c>
      <c r="C28" s="150" t="s">
        <v>68</v>
      </c>
      <c r="D28" s="177">
        <f>INDEX('Referenčne količine'!$B$16:$G$36,MATCH(B28,('Referenčne količine'!$B$16:$B$36),0),MATCH($D$6,'Referenčne količine'!$B$5:$G$5,0))</f>
        <v>7927.82</v>
      </c>
      <c r="E28" s="102"/>
      <c r="F28" s="102"/>
      <c r="G28" s="102"/>
      <c r="H28" s="104"/>
      <c r="I28" s="105"/>
      <c r="J28" s="106"/>
      <c r="K28" s="172"/>
      <c r="L28" s="102"/>
      <c r="M28" s="102"/>
      <c r="N28" s="102"/>
      <c r="O28" s="102"/>
    </row>
    <row r="29" spans="2:15" ht="15" customHeight="1" x14ac:dyDescent="0.2">
      <c r="B29" s="171" t="s">
        <v>69</v>
      </c>
      <c r="C29" s="150" t="s">
        <v>68</v>
      </c>
      <c r="D29" s="177">
        <f>INDEX('Referenčne količine'!$B$16:$G$36,MATCH(B29,('Referenčne količine'!$B$16:$B$36),0),MATCH($D$6,'Referenčne količine'!$B$5:$G$5,0))</f>
        <v>444.24527018413158</v>
      </c>
      <c r="E29" s="102"/>
      <c r="F29" s="102"/>
      <c r="G29" s="102"/>
      <c r="H29" s="104"/>
      <c r="I29" s="105"/>
      <c r="J29" s="106"/>
      <c r="K29" s="172"/>
      <c r="L29" s="102"/>
      <c r="M29" s="102"/>
      <c r="N29" s="102"/>
      <c r="O29" s="102"/>
    </row>
    <row r="30" spans="2:15" ht="15" customHeight="1" x14ac:dyDescent="0.2">
      <c r="B30" s="171" t="s">
        <v>277</v>
      </c>
      <c r="C30" s="150" t="s">
        <v>68</v>
      </c>
      <c r="D30" s="177">
        <f>INDEX('Referenčne količine'!$B$16:$G$36,MATCH(B30,('Referenčne količine'!$B$16:$B$36),0),MATCH($D$6,'Referenčne količine'!$B$5:$G$5,0))</f>
        <v>8372.0652701841318</v>
      </c>
      <c r="E30" s="102"/>
      <c r="F30" s="102"/>
      <c r="G30" s="102"/>
      <c r="H30" s="126"/>
      <c r="I30" s="174"/>
      <c r="J30" s="175"/>
      <c r="K30" s="172"/>
      <c r="L30" s="102"/>
      <c r="M30" s="102"/>
      <c r="N30" s="102"/>
      <c r="O30" s="102"/>
    </row>
    <row r="31" spans="2:15" ht="15" customHeight="1" x14ac:dyDescent="0.2">
      <c r="B31" s="10" t="s">
        <v>86</v>
      </c>
      <c r="C31" s="11"/>
      <c r="D31" s="12"/>
      <c r="E31" s="102"/>
      <c r="F31" s="102"/>
      <c r="G31" s="102"/>
      <c r="H31" s="173"/>
      <c r="I31" s="174"/>
      <c r="J31" s="175"/>
      <c r="K31" s="172"/>
      <c r="L31" s="102"/>
      <c r="M31" s="102"/>
      <c r="N31" s="102"/>
      <c r="O31" s="102"/>
    </row>
    <row r="32" spans="2:15" ht="15" customHeight="1" x14ac:dyDescent="0.2">
      <c r="B32" s="178" t="s">
        <v>278</v>
      </c>
      <c r="C32" s="155" t="s">
        <v>64</v>
      </c>
      <c r="D32" s="29">
        <f>INDEX('Referenčne količine'!$B$37:$G$47,MATCH(B32,('Referenčne količine'!$B$37:$B$47),0),MATCH($D$6,'Referenčne količine'!$B$5:$G$5,0))</f>
        <v>19463.166666666668</v>
      </c>
      <c r="E32" s="102"/>
      <c r="F32" s="102"/>
      <c r="G32" s="102"/>
      <c r="H32" s="173"/>
      <c r="I32" s="174"/>
      <c r="J32" s="175"/>
      <c r="K32" s="172"/>
      <c r="L32" s="102"/>
      <c r="M32" s="102"/>
      <c r="N32" s="102"/>
      <c r="O32" s="102"/>
    </row>
    <row r="33" spans="2:12" ht="15" customHeight="1" x14ac:dyDescent="0.2">
      <c r="B33" s="178" t="s">
        <v>279</v>
      </c>
      <c r="C33" s="155" t="s">
        <v>64</v>
      </c>
      <c r="D33" s="29">
        <f>INDEX('Referenčne količine'!$B$37:$G$47,MATCH(B33,('Referenčne količine'!$B$37:$B$47),0),MATCH($D$6,'Referenčne količine'!$B$5:$G$5,0))</f>
        <v>10242.399999999998</v>
      </c>
      <c r="E33" s="102"/>
      <c r="F33" s="102"/>
      <c r="G33" s="102"/>
      <c r="H33" s="110" t="s">
        <v>87</v>
      </c>
      <c r="I33" s="111"/>
      <c r="J33" s="112"/>
      <c r="K33" s="179">
        <f>SUM(K13:K32)</f>
        <v>0</v>
      </c>
      <c r="L33" s="102"/>
    </row>
    <row r="34" spans="2:12" ht="15" customHeight="1" x14ac:dyDescent="0.2">
      <c r="B34" s="178" t="s">
        <v>280</v>
      </c>
      <c r="C34" s="155" t="s">
        <v>64</v>
      </c>
      <c r="D34" s="29">
        <f>INDEX('Referenčne količine'!$B$37:$G$47,MATCH(B34,('Referenčne količine'!$B$37:$B$47),0),MATCH($D$6,'Referenčne količine'!$B$5:$G$5,0))</f>
        <v>29705.566666666666</v>
      </c>
      <c r="E34" s="102"/>
      <c r="F34" s="102"/>
      <c r="G34" s="102"/>
      <c r="H34" s="110" t="s">
        <v>88</v>
      </c>
      <c r="I34" s="111"/>
      <c r="J34" s="112"/>
      <c r="K34" s="179">
        <f>0.22*K33</f>
        <v>0</v>
      </c>
      <c r="L34" s="102"/>
    </row>
    <row r="35" spans="2:12" ht="18.75" customHeight="1" thickBot="1" x14ac:dyDescent="0.25">
      <c r="B35" s="178" t="s">
        <v>281</v>
      </c>
      <c r="C35" s="155" t="s">
        <v>64</v>
      </c>
      <c r="D35" s="29">
        <f>INDEX('Referenčne količine'!$B$37:$G$47,MATCH(B35,('Referenčne količine'!$B$37:$B$47),0),MATCH($D$6,'Referenčne količine'!$B$5:$G$5,0))</f>
        <v>14000</v>
      </c>
      <c r="E35" s="102"/>
      <c r="F35" s="102"/>
      <c r="G35" s="102"/>
      <c r="H35" s="113" t="s">
        <v>89</v>
      </c>
      <c r="I35" s="114"/>
      <c r="J35" s="115"/>
      <c r="K35" s="180">
        <f>K33+K34</f>
        <v>0</v>
      </c>
      <c r="L35" s="102"/>
    </row>
    <row r="36" spans="2:12" ht="18.75" customHeight="1" x14ac:dyDescent="0.2">
      <c r="B36" s="178" t="s">
        <v>283</v>
      </c>
      <c r="C36" s="155" t="s">
        <v>64</v>
      </c>
      <c r="D36" s="29">
        <f>INDEX('Referenčne količine'!$B$37:$G$47,MATCH(B36,('Referenčne količine'!$B$37:$B$47),0),MATCH($D$6,'Referenčne količine'!$B$5:$G$5,0))</f>
        <v>0</v>
      </c>
      <c r="E36" s="102"/>
      <c r="F36" s="102"/>
      <c r="G36" s="102"/>
      <c r="H36" s="102"/>
      <c r="I36" s="102"/>
      <c r="J36" s="102"/>
      <c r="K36" s="102"/>
      <c r="L36" s="102"/>
    </row>
    <row r="37" spans="2:12" ht="18.75" customHeight="1" x14ac:dyDescent="0.2">
      <c r="B37" s="178" t="s">
        <v>282</v>
      </c>
      <c r="C37" s="155" t="s">
        <v>64</v>
      </c>
      <c r="D37" s="29">
        <f>INDEX('Referenčne količine'!$B$37:$G$47,MATCH(B37,('Referenčne količine'!$B$37:$B$47),0),MATCH($D$6,'Referenčne količine'!$B$5:$G$5,0))</f>
        <v>15184.766666666666</v>
      </c>
      <c r="E37" s="102"/>
      <c r="F37" s="102"/>
      <c r="G37" s="102"/>
      <c r="H37" s="102" t="s">
        <v>90</v>
      </c>
      <c r="I37" s="102"/>
      <c r="J37" s="102"/>
      <c r="K37" s="102"/>
      <c r="L37" s="102"/>
    </row>
    <row r="38" spans="2:12" ht="15" customHeight="1" x14ac:dyDescent="0.2">
      <c r="B38" s="178" t="s">
        <v>293</v>
      </c>
      <c r="C38" s="155" t="s">
        <v>66</v>
      </c>
      <c r="D38" s="176">
        <f>INDEX('Referenčne količine'!$B$37:$G$47,MATCH(B38,('Referenčne količine'!$B$37:$B$47),0),MATCH($D$6,'Referenčne količine'!$B$5:$G$5,0))</f>
        <v>167</v>
      </c>
      <c r="E38" s="102"/>
      <c r="F38" s="102"/>
      <c r="G38" s="102"/>
      <c r="H38" s="102"/>
      <c r="I38" s="102"/>
      <c r="J38" s="102"/>
      <c r="K38" s="102"/>
      <c r="L38" s="102"/>
    </row>
    <row r="39" spans="2:12" ht="15" customHeight="1" x14ac:dyDescent="0.2">
      <c r="B39" s="178" t="s">
        <v>67</v>
      </c>
      <c r="C39" s="155" t="s">
        <v>68</v>
      </c>
      <c r="D39" s="177">
        <f>INDEX('Referenčne količine'!$B$37:$G$47,MATCH(B39,('Referenčne količine'!$B$37:$B$47),0),MATCH($D$6,'Referenčne količine'!$B$5:$G$5,0))</f>
        <v>3250.3488333333339</v>
      </c>
      <c r="E39" s="102"/>
      <c r="F39" s="102"/>
      <c r="G39" s="102"/>
      <c r="H39" s="102"/>
      <c r="I39" s="102"/>
      <c r="J39" s="102"/>
      <c r="K39" s="102"/>
      <c r="L39" s="102"/>
    </row>
    <row r="40" spans="2:12" ht="15" customHeight="1" x14ac:dyDescent="0.2">
      <c r="B40" s="178" t="s">
        <v>69</v>
      </c>
      <c r="C40" s="155" t="s">
        <v>68</v>
      </c>
      <c r="D40" s="177">
        <f>INDEX('Referenčne količine'!$B$37:$G$47,MATCH(B40,('Referenčne količine'!$B$37:$B$47),0),MATCH($D$6,'Referenčne količine'!$B$5:$G$5,0))</f>
        <v>1710.4807999999996</v>
      </c>
      <c r="E40" s="102"/>
      <c r="F40" s="102"/>
      <c r="G40" s="102"/>
      <c r="H40" s="102"/>
      <c r="I40" s="102"/>
      <c r="J40" s="102"/>
      <c r="K40" s="102"/>
      <c r="L40" s="102"/>
    </row>
    <row r="41" spans="2:12" x14ac:dyDescent="0.2">
      <c r="B41" s="178" t="s">
        <v>70</v>
      </c>
      <c r="C41" s="155" t="s">
        <v>68</v>
      </c>
      <c r="D41" s="177">
        <f>INDEX('Referenčne količine'!$B$37:$G$47,MATCH(B41,('Referenčne količine'!$B$37:$B$47),0),MATCH($D$6,'Referenčne količine'!$B$5:$G$5,0))</f>
        <v>4960.8296333333328</v>
      </c>
    </row>
    <row r="42" spans="2:12" x14ac:dyDescent="0.2">
      <c r="B42" s="13" t="s">
        <v>71</v>
      </c>
      <c r="C42" s="14"/>
      <c r="D42" s="15"/>
    </row>
    <row r="43" spans="2:12" x14ac:dyDescent="0.2">
      <c r="B43" s="181" t="s">
        <v>72</v>
      </c>
      <c r="C43" s="159" t="s">
        <v>68</v>
      </c>
      <c r="D43" s="177">
        <f>INDEX('Referenčne količine'!$B$48:$G$49,MATCH(B43,('Referenčne količine'!$B$48:$B$49),0),MATCH($D$6,'Referenčne količine'!$B$5:$G$5,0))</f>
        <v>3291</v>
      </c>
      <c r="E43" s="102"/>
      <c r="F43" s="102"/>
      <c r="G43" s="102"/>
      <c r="H43" s="102"/>
      <c r="I43" s="102"/>
      <c r="J43" s="102"/>
      <c r="K43" s="102"/>
      <c r="L43" s="87"/>
    </row>
    <row r="44" spans="2:12" x14ac:dyDescent="0.2">
      <c r="B44" s="16" t="s">
        <v>73</v>
      </c>
      <c r="C44" s="17"/>
      <c r="D44" s="18"/>
    </row>
    <row r="45" spans="2:12" x14ac:dyDescent="0.2">
      <c r="B45" s="182" t="s">
        <v>74</v>
      </c>
      <c r="C45" s="163" t="s">
        <v>68</v>
      </c>
      <c r="D45" s="177">
        <f>INDEX('Referenčne količine'!$B$50:$G$52,MATCH(B45,('Referenčne količine'!$B$50:$B$52),0),MATCH($D$6,'Referenčne količine'!$B$5:$G$5,0))</f>
        <v>14469.168833333333</v>
      </c>
      <c r="E45" s="102"/>
      <c r="F45" s="102"/>
      <c r="G45" s="102"/>
      <c r="H45" s="102"/>
      <c r="I45" s="102"/>
      <c r="J45" s="102"/>
      <c r="K45" s="102"/>
      <c r="L45" s="102"/>
    </row>
    <row r="46" spans="2:12" ht="13.5" thickBot="1" x14ac:dyDescent="0.25">
      <c r="B46" s="183" t="s">
        <v>284</v>
      </c>
      <c r="C46" s="184" t="s">
        <v>68</v>
      </c>
      <c r="D46" s="185">
        <f>INDEX('Referenčne količine'!$B$50:$G$52,MATCH(B46,('Referenčne količine'!$B$50:$B$52),0),MATCH($D$6,'Referenčne količine'!$B$5:$G$5,0))</f>
        <v>16623.894903517466</v>
      </c>
    </row>
    <row r="47" spans="2:12" x14ac:dyDescent="0.2">
      <c r="E47" s="102"/>
      <c r="F47" s="102"/>
      <c r="G47" s="102"/>
      <c r="H47" s="102"/>
      <c r="I47" s="102"/>
      <c r="J47" s="102"/>
      <c r="K47" s="102"/>
      <c r="L47" s="102"/>
    </row>
    <row r="54" spans="2:16" ht="16.5" thickBot="1" x14ac:dyDescent="0.3">
      <c r="B54" s="39" t="s">
        <v>304</v>
      </c>
      <c r="C54" s="102"/>
      <c r="D54" s="102"/>
      <c r="E54" s="102"/>
      <c r="F54" s="102"/>
      <c r="G54" s="102"/>
      <c r="H54" s="39" t="s">
        <v>91</v>
      </c>
      <c r="I54" s="102"/>
      <c r="J54" s="102"/>
      <c r="K54" s="102"/>
      <c r="L54" s="102"/>
      <c r="M54" s="102"/>
      <c r="N54" s="35"/>
      <c r="O54" s="35"/>
      <c r="P54" s="35"/>
    </row>
    <row r="55" spans="2:16" ht="15" customHeight="1" x14ac:dyDescent="0.25">
      <c r="B55" s="1168" t="s">
        <v>92</v>
      </c>
      <c r="C55" s="1169"/>
      <c r="D55" s="1169"/>
      <c r="E55" s="1170"/>
      <c r="F55" s="102"/>
      <c r="G55" s="102"/>
      <c r="H55" s="1171" t="s">
        <v>93</v>
      </c>
      <c r="I55" s="1172"/>
      <c r="J55" s="1173"/>
      <c r="K55" s="102"/>
      <c r="L55" s="102"/>
      <c r="M55" s="102"/>
      <c r="N55" s="1156"/>
      <c r="O55" s="1156"/>
      <c r="P55" s="1156"/>
    </row>
    <row r="56" spans="2:16" ht="15" customHeight="1" x14ac:dyDescent="0.25">
      <c r="B56" s="187" t="s">
        <v>306</v>
      </c>
      <c r="C56" s="508" t="str">
        <f>D11</f>
        <v>UNP</v>
      </c>
      <c r="D56" s="122" t="s">
        <v>64</v>
      </c>
      <c r="E56" s="29">
        <f>SUM(J83:M83)</f>
        <v>0</v>
      </c>
      <c r="F56" s="102"/>
      <c r="G56" s="102"/>
      <c r="H56" s="25" t="s">
        <v>95</v>
      </c>
      <c r="I56" s="26" t="s">
        <v>96</v>
      </c>
      <c r="J56" s="27" t="s">
        <v>97</v>
      </c>
      <c r="K56" s="102"/>
      <c r="L56" s="102"/>
      <c r="M56" s="102"/>
      <c r="N56" s="35"/>
      <c r="O56" s="35"/>
      <c r="P56" s="35"/>
    </row>
    <row r="57" spans="2:16" ht="15" customHeight="1" x14ac:dyDescent="0.25">
      <c r="B57" s="187" t="s">
        <v>307</v>
      </c>
      <c r="C57" s="508" t="s">
        <v>99</v>
      </c>
      <c r="D57" s="122" t="s">
        <v>64</v>
      </c>
      <c r="E57" s="29">
        <f>SUM(J84:M84)</f>
        <v>0</v>
      </c>
      <c r="F57" s="102"/>
      <c r="G57" s="102"/>
      <c r="H57" s="28">
        <v>1</v>
      </c>
      <c r="I57" s="23">
        <f t="shared" ref="I57:I71" si="0">$E$88</f>
        <v>16623.894903517466</v>
      </c>
      <c r="J57" s="24">
        <f t="shared" ref="J57:J71" si="1">I57/((1+$J$74)^H57)</f>
        <v>15984.514330305255</v>
      </c>
      <c r="K57" s="102"/>
      <c r="L57" s="102"/>
      <c r="M57" s="102"/>
      <c r="N57" s="35"/>
      <c r="O57" s="35"/>
      <c r="P57" s="35"/>
    </row>
    <row r="58" spans="2:16" ht="15" customHeight="1" x14ac:dyDescent="0.25">
      <c r="B58" s="187" t="s">
        <v>308</v>
      </c>
      <c r="C58" s="509" t="s">
        <v>31</v>
      </c>
      <c r="D58" s="122" t="s">
        <v>64</v>
      </c>
      <c r="E58" s="29">
        <f>SUM(J85:M85)</f>
        <v>0</v>
      </c>
      <c r="F58" s="102"/>
      <c r="G58" s="102"/>
      <c r="H58" s="28">
        <v>2</v>
      </c>
      <c r="I58" s="23">
        <f t="shared" si="0"/>
        <v>16623.894903517466</v>
      </c>
      <c r="J58" s="24">
        <f t="shared" si="1"/>
        <v>15369.725317601205</v>
      </c>
      <c r="K58" s="102"/>
      <c r="L58" s="102"/>
      <c r="M58" s="102"/>
      <c r="N58" s="35"/>
      <c r="O58" s="35"/>
      <c r="P58" s="35"/>
    </row>
    <row r="59" spans="2:16" ht="15" customHeight="1" x14ac:dyDescent="0.25">
      <c r="B59" s="527" t="s">
        <v>318</v>
      </c>
      <c r="C59" s="530"/>
      <c r="D59" s="99" t="s">
        <v>64</v>
      </c>
      <c r="E59" s="531">
        <f>SUM(E56:E58)</f>
        <v>0</v>
      </c>
      <c r="F59" s="102"/>
      <c r="G59" s="102"/>
      <c r="H59" s="28">
        <v>3</v>
      </c>
      <c r="I59" s="23">
        <f t="shared" si="0"/>
        <v>16623.894903517466</v>
      </c>
      <c r="J59" s="24">
        <f t="shared" si="1"/>
        <v>14778.582036155007</v>
      </c>
      <c r="K59" s="102"/>
      <c r="L59" s="102"/>
      <c r="M59" s="102"/>
      <c r="N59" s="35"/>
      <c r="O59" s="35"/>
      <c r="P59" s="35"/>
    </row>
    <row r="60" spans="2:16" ht="15" customHeight="1" x14ac:dyDescent="0.25">
      <c r="B60" s="527" t="s">
        <v>322</v>
      </c>
      <c r="C60" s="530"/>
      <c r="D60" s="99" t="s">
        <v>64</v>
      </c>
      <c r="E60" s="531">
        <f>N87</f>
        <v>0</v>
      </c>
      <c r="F60" s="102"/>
      <c r="G60" s="102"/>
      <c r="H60" s="28">
        <v>4</v>
      </c>
      <c r="I60" s="23">
        <f t="shared" si="0"/>
        <v>16623.894903517466</v>
      </c>
      <c r="J60" s="24">
        <f t="shared" si="1"/>
        <v>14210.175034764428</v>
      </c>
      <c r="K60" s="102"/>
      <c r="L60" s="102"/>
      <c r="M60" s="102"/>
      <c r="N60" s="35"/>
      <c r="O60" s="35"/>
      <c r="P60" s="35"/>
    </row>
    <row r="61" spans="2:16" ht="15" customHeight="1" x14ac:dyDescent="0.25">
      <c r="B61" s="187" t="s">
        <v>309</v>
      </c>
      <c r="C61" s="508" t="str">
        <f>C56</f>
        <v>UNP</v>
      </c>
      <c r="D61" s="122" t="s">
        <v>66</v>
      </c>
      <c r="E61" s="186">
        <f>D26</f>
        <v>105.0000662225342</v>
      </c>
      <c r="F61" s="102"/>
      <c r="G61" s="102"/>
      <c r="H61" s="28">
        <v>5</v>
      </c>
      <c r="I61" s="23">
        <f t="shared" si="0"/>
        <v>16623.894903517466</v>
      </c>
      <c r="J61" s="24">
        <f t="shared" si="1"/>
        <v>13663.62984111964</v>
      </c>
      <c r="K61" s="102"/>
      <c r="L61" s="102"/>
      <c r="M61" s="102"/>
      <c r="N61" s="35"/>
      <c r="O61" s="35"/>
      <c r="P61" s="35"/>
    </row>
    <row r="62" spans="2:16" ht="15" customHeight="1" x14ac:dyDescent="0.25">
      <c r="B62" s="187" t="s">
        <v>310</v>
      </c>
      <c r="C62" s="508" t="str">
        <f>C57</f>
        <v>EE za TČ</v>
      </c>
      <c r="D62" s="122" t="s">
        <v>66</v>
      </c>
      <c r="E62" s="186">
        <f>D38</f>
        <v>167</v>
      </c>
      <c r="F62" s="102"/>
      <c r="G62" s="102"/>
      <c r="H62" s="28">
        <v>6</v>
      </c>
      <c r="I62" s="23">
        <f t="shared" si="0"/>
        <v>16623.894903517466</v>
      </c>
      <c r="J62" s="24">
        <f t="shared" si="1"/>
        <v>13138.105616461193</v>
      </c>
      <c r="K62" s="102"/>
      <c r="L62" s="102"/>
      <c r="M62" s="102"/>
      <c r="N62" s="35"/>
      <c r="O62" s="35"/>
      <c r="P62" s="35"/>
    </row>
    <row r="63" spans="2:16" ht="15" customHeight="1" x14ac:dyDescent="0.25">
      <c r="B63" s="187" t="s">
        <v>311</v>
      </c>
      <c r="C63" s="509" t="str">
        <f>C58</f>
        <v>*vpiši</v>
      </c>
      <c r="D63" s="122" t="s">
        <v>66</v>
      </c>
      <c r="E63" s="186">
        <v>0</v>
      </c>
      <c r="F63" s="102"/>
      <c r="G63" s="102"/>
      <c r="H63" s="28">
        <v>7</v>
      </c>
      <c r="I63" s="23">
        <f t="shared" si="0"/>
        <v>16623.894903517466</v>
      </c>
      <c r="J63" s="24">
        <f t="shared" si="1"/>
        <v>12632.793861981918</v>
      </c>
      <c r="K63" s="102"/>
      <c r="L63" s="102"/>
      <c r="M63" s="102"/>
      <c r="N63" s="35"/>
      <c r="O63" s="35"/>
      <c r="P63" s="35"/>
    </row>
    <row r="64" spans="2:16" ht="15" customHeight="1" x14ac:dyDescent="0.25">
      <c r="B64" s="187" t="s">
        <v>292</v>
      </c>
      <c r="C64" s="509"/>
      <c r="D64" s="122" t="s">
        <v>66</v>
      </c>
      <c r="E64" s="186">
        <f>IFERROR(E70/E60*1000,0)</f>
        <v>0</v>
      </c>
      <c r="F64" s="102"/>
      <c r="G64" s="102"/>
      <c r="H64" s="28">
        <v>8</v>
      </c>
      <c r="I64" s="23">
        <f t="shared" si="0"/>
        <v>16623.894903517466</v>
      </c>
      <c r="J64" s="24">
        <f t="shared" si="1"/>
        <v>12146.917174982611</v>
      </c>
      <c r="K64" s="102"/>
      <c r="L64" s="102"/>
      <c r="M64" s="102"/>
      <c r="N64" s="35"/>
      <c r="O64" s="35"/>
      <c r="P64" s="35"/>
    </row>
    <row r="65" spans="2:16" ht="15" customHeight="1" x14ac:dyDescent="0.25">
      <c r="B65" s="187" t="s">
        <v>312</v>
      </c>
      <c r="C65" s="508" t="str">
        <f>C56</f>
        <v>UNP</v>
      </c>
      <c r="D65" s="122" t="s">
        <v>64</v>
      </c>
      <c r="E65" s="30">
        <f>D14-E56</f>
        <v>79733.904666694318</v>
      </c>
      <c r="F65" s="102"/>
      <c r="G65" s="102"/>
      <c r="H65" s="28">
        <v>9</v>
      </c>
      <c r="I65" s="23">
        <f t="shared" si="0"/>
        <v>16623.894903517466</v>
      </c>
      <c r="J65" s="24">
        <f t="shared" si="1"/>
        <v>11679.728052867895</v>
      </c>
      <c r="K65" s="102"/>
      <c r="L65" s="102"/>
      <c r="M65" s="102"/>
      <c r="N65" s="35"/>
      <c r="O65" s="35"/>
      <c r="P65" s="35"/>
    </row>
    <row r="66" spans="2:16" ht="15" customHeight="1" x14ac:dyDescent="0.25">
      <c r="B66" s="187" t="s">
        <v>313</v>
      </c>
      <c r="C66" s="508" t="str">
        <f>C57</f>
        <v>EE za TČ</v>
      </c>
      <c r="D66" s="122" t="s">
        <v>64</v>
      </c>
      <c r="E66" s="30">
        <f>(-1)*E57</f>
        <v>0</v>
      </c>
      <c r="F66" s="102"/>
      <c r="G66" s="102"/>
      <c r="H66" s="28">
        <v>10</v>
      </c>
      <c r="I66" s="23">
        <f t="shared" si="0"/>
        <v>16623.894903517466</v>
      </c>
      <c r="J66" s="24">
        <f t="shared" si="1"/>
        <v>11230.507743142205</v>
      </c>
      <c r="K66" s="102"/>
      <c r="L66" s="102"/>
      <c r="M66" s="102"/>
      <c r="N66" s="35"/>
      <c r="O66" s="35"/>
      <c r="P66" s="35"/>
    </row>
    <row r="67" spans="2:16" ht="15" customHeight="1" x14ac:dyDescent="0.25">
      <c r="B67" s="187" t="s">
        <v>314</v>
      </c>
      <c r="C67" s="508" t="str">
        <f>C58</f>
        <v>*vpiši</v>
      </c>
      <c r="D67" s="122" t="s">
        <v>64</v>
      </c>
      <c r="E67" s="30">
        <f>(-1)*E58</f>
        <v>0</v>
      </c>
      <c r="F67" s="102"/>
      <c r="G67" s="102"/>
      <c r="H67" s="28">
        <v>11</v>
      </c>
      <c r="I67" s="23">
        <f t="shared" si="0"/>
        <v>16623.894903517466</v>
      </c>
      <c r="J67" s="24">
        <f t="shared" si="1"/>
        <v>10798.565137636737</v>
      </c>
      <c r="K67" s="102"/>
      <c r="L67" s="102"/>
      <c r="M67" s="102"/>
      <c r="N67" s="35"/>
      <c r="O67" s="35"/>
      <c r="P67" s="35"/>
    </row>
    <row r="68" spans="2:16" ht="15" customHeight="1" x14ac:dyDescent="0.25">
      <c r="B68" s="527" t="s">
        <v>317</v>
      </c>
      <c r="C68" s="528"/>
      <c r="D68" s="99" t="s">
        <v>64</v>
      </c>
      <c r="E68" s="529">
        <f>SUM(E65:E67)</f>
        <v>79733.904666694318</v>
      </c>
      <c r="F68" s="102"/>
      <c r="G68" s="102"/>
      <c r="H68" s="28">
        <v>12</v>
      </c>
      <c r="I68" s="23">
        <f t="shared" si="0"/>
        <v>16623.894903517466</v>
      </c>
      <c r="J68" s="24">
        <f t="shared" si="1"/>
        <v>10383.235709266091</v>
      </c>
      <c r="K68" s="102"/>
      <c r="L68" s="102"/>
      <c r="M68" s="102"/>
      <c r="N68" s="35"/>
      <c r="O68" s="35"/>
      <c r="P68" s="35"/>
    </row>
    <row r="69" spans="2:16" ht="15" customHeight="1" x14ac:dyDescent="0.25">
      <c r="B69" s="527" t="s">
        <v>323</v>
      </c>
      <c r="C69" s="528"/>
      <c r="D69" s="99" t="s">
        <v>64</v>
      </c>
      <c r="E69" s="529">
        <f>D21-E60</f>
        <v>66142.904666694318</v>
      </c>
      <c r="F69" s="102"/>
      <c r="G69" s="102"/>
      <c r="H69" s="28">
        <v>13</v>
      </c>
      <c r="I69" s="23">
        <f t="shared" si="0"/>
        <v>16623.894903517466</v>
      </c>
      <c r="J69" s="24">
        <f t="shared" si="1"/>
        <v>9983.8804896789334</v>
      </c>
      <c r="K69" s="102"/>
      <c r="L69" s="102"/>
      <c r="M69" s="102"/>
      <c r="N69" s="35"/>
      <c r="O69" s="35"/>
      <c r="P69" s="35"/>
    </row>
    <row r="70" spans="2:16" ht="15" customHeight="1" x14ac:dyDescent="0.25">
      <c r="B70" s="187" t="s">
        <v>315</v>
      </c>
      <c r="C70" s="188"/>
      <c r="D70" s="122" t="s">
        <v>68</v>
      </c>
      <c r="E70" s="179">
        <f>(E56*E61+E57*E62+E58*E63)/1000</f>
        <v>0</v>
      </c>
      <c r="F70" s="102"/>
      <c r="G70" s="102"/>
      <c r="H70" s="28">
        <v>14</v>
      </c>
      <c r="I70" s="23">
        <f t="shared" si="0"/>
        <v>16623.894903517466</v>
      </c>
      <c r="J70" s="24">
        <f t="shared" si="1"/>
        <v>9599.885086229744</v>
      </c>
      <c r="K70" s="102"/>
      <c r="L70" s="102"/>
      <c r="M70" s="102"/>
      <c r="N70" s="35"/>
      <c r="O70" s="35"/>
      <c r="P70" s="35"/>
    </row>
    <row r="71" spans="2:16" ht="15" customHeight="1" x14ac:dyDescent="0.25">
      <c r="B71" s="527" t="s">
        <v>101</v>
      </c>
      <c r="C71" s="532"/>
      <c r="D71" s="99" t="s">
        <v>68</v>
      </c>
      <c r="E71" s="65">
        <f>D30-E70</f>
        <v>8372.0652701841318</v>
      </c>
      <c r="F71" s="779"/>
      <c r="G71" s="102"/>
      <c r="H71" s="28">
        <v>15</v>
      </c>
      <c r="I71" s="23">
        <f t="shared" si="0"/>
        <v>16623.894903517466</v>
      </c>
      <c r="J71" s="24">
        <f t="shared" si="1"/>
        <v>9230.6587367593693</v>
      </c>
      <c r="K71" s="102"/>
      <c r="L71" s="1088"/>
      <c r="M71" s="102"/>
      <c r="N71" s="1156"/>
      <c r="O71" s="1156"/>
      <c r="P71" s="35"/>
    </row>
    <row r="72" spans="2:16" ht="15" customHeight="1" thickBot="1" x14ac:dyDescent="0.3">
      <c r="B72" s="189" t="s">
        <v>108</v>
      </c>
      <c r="C72" s="190"/>
      <c r="D72" s="191" t="s">
        <v>102</v>
      </c>
      <c r="E72" s="192">
        <f>E71/D30</f>
        <v>1</v>
      </c>
      <c r="F72" s="102"/>
      <c r="G72" s="102"/>
      <c r="H72" s="1174" t="s">
        <v>105</v>
      </c>
      <c r="I72" s="1175"/>
      <c r="J72" s="52">
        <f>SUM(J57:J71)</f>
        <v>184830.90416895223</v>
      </c>
      <c r="K72" s="102"/>
      <c r="L72" s="102"/>
      <c r="M72" s="102"/>
      <c r="N72" s="1156"/>
      <c r="O72" s="1156"/>
      <c r="P72" s="1156"/>
    </row>
    <row r="73" spans="2:16" ht="15" customHeight="1" thickBot="1" x14ac:dyDescent="0.3">
      <c r="B73" s="193"/>
      <c r="C73" s="193"/>
      <c r="D73" s="193"/>
      <c r="E73" s="193"/>
      <c r="F73" s="102"/>
      <c r="G73" s="102"/>
      <c r="H73" s="1176"/>
      <c r="I73" s="1177"/>
      <c r="J73" s="1178"/>
      <c r="K73" s="102"/>
      <c r="L73" s="102"/>
      <c r="M73" s="102"/>
      <c r="N73" s="35"/>
      <c r="O73" s="35"/>
      <c r="P73" s="35"/>
    </row>
    <row r="74" spans="2:16" ht="15" customHeight="1" thickBot="1" x14ac:dyDescent="0.3">
      <c r="B74" s="517" t="s">
        <v>103</v>
      </c>
      <c r="C74" s="518"/>
      <c r="D74" s="518"/>
      <c r="E74" s="519"/>
      <c r="F74" s="102"/>
      <c r="G74" s="102"/>
      <c r="H74" s="196" t="s">
        <v>107</v>
      </c>
      <c r="I74" s="197"/>
      <c r="J74" s="198">
        <v>0.04</v>
      </c>
      <c r="K74" s="102"/>
      <c r="L74" s="102"/>
      <c r="M74" s="102"/>
      <c r="N74" s="35"/>
      <c r="O74" s="35"/>
      <c r="P74" s="35"/>
    </row>
    <row r="75" spans="2:16" ht="15" customHeight="1" x14ac:dyDescent="0.25">
      <c r="B75" s="194" t="s">
        <v>316</v>
      </c>
      <c r="C75" s="195" t="s">
        <v>43</v>
      </c>
      <c r="D75" s="195" t="s">
        <v>64</v>
      </c>
      <c r="E75" s="30">
        <f>SUM(I90:K90)</f>
        <v>0</v>
      </c>
      <c r="F75" s="102"/>
      <c r="G75" s="102"/>
      <c r="H75" s="102"/>
      <c r="I75" s="102"/>
      <c r="J75" s="102"/>
      <c r="K75" s="102"/>
      <c r="L75" s="102"/>
      <c r="M75" s="102"/>
      <c r="N75" s="35"/>
      <c r="O75" s="35"/>
      <c r="P75" s="35"/>
    </row>
    <row r="76" spans="2:16" ht="15" x14ac:dyDescent="0.25">
      <c r="B76" s="194" t="s">
        <v>65</v>
      </c>
      <c r="C76" s="195" t="str">
        <f>C75</f>
        <v>EE</v>
      </c>
      <c r="D76" s="195" t="s">
        <v>66</v>
      </c>
      <c r="E76" s="186">
        <f>D38</f>
        <v>167</v>
      </c>
      <c r="F76" s="102"/>
      <c r="G76" s="102"/>
      <c r="H76" s="102"/>
      <c r="I76" s="102"/>
      <c r="J76" s="102"/>
      <c r="K76" s="102"/>
      <c r="L76" s="102"/>
      <c r="M76" s="102"/>
      <c r="N76" s="35"/>
      <c r="O76" s="35"/>
      <c r="P76" s="35"/>
    </row>
    <row r="77" spans="2:16" ht="15" customHeight="1" x14ac:dyDescent="0.25">
      <c r="B77" s="194" t="s">
        <v>104</v>
      </c>
      <c r="C77" s="195" t="str">
        <f>C75</f>
        <v>EE</v>
      </c>
      <c r="D77" s="195" t="s">
        <v>64</v>
      </c>
      <c r="E77" s="30">
        <f>D34-E75</f>
        <v>29705.566666666666</v>
      </c>
      <c r="F77" s="102"/>
      <c r="G77" s="102"/>
      <c r="H77" s="102"/>
      <c r="I77" s="102"/>
      <c r="J77" s="102"/>
      <c r="K77" s="102"/>
      <c r="L77" s="102"/>
      <c r="M77" s="102"/>
      <c r="N77" s="35"/>
      <c r="O77" s="35"/>
      <c r="P77" s="35"/>
    </row>
    <row r="78" spans="2:16" ht="30" customHeight="1" x14ac:dyDescent="0.25">
      <c r="B78" s="194" t="s">
        <v>106</v>
      </c>
      <c r="C78" s="195" t="s">
        <v>43</v>
      </c>
      <c r="D78" s="195" t="s">
        <v>68</v>
      </c>
      <c r="E78" s="179">
        <f>E75*E76/1000</f>
        <v>0</v>
      </c>
      <c r="F78" s="102"/>
      <c r="G78" s="102"/>
      <c r="H78" s="102"/>
      <c r="O78" s="35"/>
      <c r="P78" s="35"/>
    </row>
    <row r="79" spans="2:16" ht="30" customHeight="1" x14ac:dyDescent="0.25">
      <c r="B79" s="194" t="s">
        <v>101</v>
      </c>
      <c r="C79" s="195" t="str">
        <f>C78</f>
        <v>EE</v>
      </c>
      <c r="D79" s="195" t="s">
        <v>68</v>
      </c>
      <c r="E79" s="179">
        <f>D41-E78</f>
        <v>4960.8296333333328</v>
      </c>
      <c r="F79" s="102"/>
      <c r="G79" s="102"/>
      <c r="H79" s="102"/>
      <c r="I79" s="102"/>
      <c r="J79" s="102"/>
      <c r="K79" s="102"/>
      <c r="L79" s="102"/>
      <c r="M79" s="102"/>
      <c r="N79" s="1156"/>
      <c r="O79" s="1156"/>
      <c r="P79" s="1156"/>
    </row>
    <row r="80" spans="2:16" ht="30" customHeight="1" thickBot="1" x14ac:dyDescent="0.3">
      <c r="B80" s="199" t="s">
        <v>108</v>
      </c>
      <c r="C80" s="200" t="str">
        <f>C78</f>
        <v>EE</v>
      </c>
      <c r="D80" s="200" t="s">
        <v>102</v>
      </c>
      <c r="E80" s="192">
        <f>E79/D41</f>
        <v>1</v>
      </c>
      <c r="F80" s="102"/>
      <c r="G80" s="102"/>
      <c r="H80" s="39" t="s">
        <v>294</v>
      </c>
      <c r="N80" s="35"/>
      <c r="O80" s="35"/>
      <c r="P80" s="35"/>
    </row>
    <row r="81" spans="2:16" ht="15.75" thickBot="1" x14ac:dyDescent="0.3">
      <c r="B81" s="193"/>
      <c r="C81" s="193"/>
      <c r="D81" s="193"/>
      <c r="E81" s="193"/>
      <c r="F81" s="102"/>
      <c r="G81" s="102"/>
      <c r="H81" s="102" t="s">
        <v>333</v>
      </c>
      <c r="I81" s="102"/>
      <c r="J81" s="102"/>
      <c r="K81" s="102"/>
      <c r="L81" s="102"/>
      <c r="M81" s="102"/>
      <c r="N81" s="35"/>
      <c r="O81" s="35"/>
      <c r="P81" s="35"/>
    </row>
    <row r="82" spans="2:16" ht="15.75" thickBot="1" x14ac:dyDescent="0.3">
      <c r="B82" s="520" t="s">
        <v>71</v>
      </c>
      <c r="C82" s="521"/>
      <c r="D82" s="521"/>
      <c r="E82" s="522"/>
      <c r="F82" s="102"/>
      <c r="G82" s="102"/>
      <c r="H82" s="504" t="s">
        <v>332</v>
      </c>
      <c r="I82" s="501" t="s">
        <v>63</v>
      </c>
      <c r="J82" s="501" t="s">
        <v>113</v>
      </c>
      <c r="K82" s="501" t="s">
        <v>114</v>
      </c>
      <c r="L82" s="501" t="s">
        <v>115</v>
      </c>
      <c r="M82" s="1087" t="s">
        <v>382</v>
      </c>
      <c r="N82" s="745" t="s">
        <v>296</v>
      </c>
      <c r="O82" s="35"/>
      <c r="P82" s="35"/>
    </row>
    <row r="83" spans="2:16" ht="23.25" customHeight="1" x14ac:dyDescent="0.25">
      <c r="B83" s="513" t="s">
        <v>109</v>
      </c>
      <c r="C83" s="514"/>
      <c r="D83" s="201" t="s">
        <v>68</v>
      </c>
      <c r="E83" s="744">
        <v>0</v>
      </c>
      <c r="F83" s="102"/>
      <c r="G83" s="102"/>
      <c r="H83" s="487" t="s">
        <v>94</v>
      </c>
      <c r="I83" s="526" t="s">
        <v>39</v>
      </c>
      <c r="J83" s="1063"/>
      <c r="K83" s="1063"/>
      <c r="L83" s="1063"/>
      <c r="M83" s="1064"/>
      <c r="N83" s="767">
        <f>SUM(J83:M83)</f>
        <v>0</v>
      </c>
      <c r="O83" s="35"/>
      <c r="P83" s="35"/>
    </row>
    <row r="84" spans="2:16" ht="15" customHeight="1" x14ac:dyDescent="0.25">
      <c r="B84" s="513" t="s">
        <v>110</v>
      </c>
      <c r="C84" s="514"/>
      <c r="D84" s="201" t="s">
        <v>68</v>
      </c>
      <c r="E84" s="179">
        <f>D43-E83</f>
        <v>3291</v>
      </c>
      <c r="F84" s="102"/>
      <c r="G84" s="102"/>
      <c r="H84" s="171" t="s">
        <v>98</v>
      </c>
      <c r="I84" s="1066" t="s">
        <v>99</v>
      </c>
      <c r="J84" s="1063"/>
      <c r="K84" s="1063"/>
      <c r="L84" s="1063"/>
      <c r="M84" s="1064"/>
      <c r="N84" s="1065">
        <f>SUM(J84:M84)</f>
        <v>0</v>
      </c>
      <c r="O84" s="35"/>
      <c r="P84" s="35"/>
    </row>
    <row r="85" spans="2:16" ht="27" thickBot="1" x14ac:dyDescent="0.3">
      <c r="B85" s="515" t="s">
        <v>111</v>
      </c>
      <c r="C85" s="516"/>
      <c r="D85" s="202" t="s">
        <v>102</v>
      </c>
      <c r="E85" s="192">
        <f>E84/D43</f>
        <v>1</v>
      </c>
      <c r="F85" s="102"/>
      <c r="G85" s="102"/>
      <c r="H85" s="204" t="s">
        <v>100</v>
      </c>
      <c r="I85" s="533"/>
      <c r="J85" s="775"/>
      <c r="K85" s="775"/>
      <c r="L85" s="775"/>
      <c r="M85" s="716"/>
      <c r="N85" s="510"/>
      <c r="O85" s="35"/>
      <c r="P85" s="35"/>
    </row>
    <row r="86" spans="2:16" ht="15.75" thickBot="1" x14ac:dyDescent="0.3">
      <c r="B86" s="193"/>
      <c r="C86" s="193"/>
      <c r="D86" s="193"/>
      <c r="E86" s="193"/>
      <c r="F86" s="102"/>
      <c r="G86" s="102"/>
      <c r="H86" s="768" t="s">
        <v>397</v>
      </c>
      <c r="I86" s="769"/>
      <c r="J86" s="770">
        <f>SUM(J83:J85)</f>
        <v>0</v>
      </c>
      <c r="K86" s="770">
        <f t="shared" ref="K86:N86" si="2">SUM(K83:K85)</f>
        <v>0</v>
      </c>
      <c r="L86" s="770">
        <f t="shared" si="2"/>
        <v>0</v>
      </c>
      <c r="M86" s="770">
        <f t="shared" si="2"/>
        <v>0</v>
      </c>
      <c r="N86" s="770">
        <f t="shared" si="2"/>
        <v>0</v>
      </c>
      <c r="O86" s="35"/>
      <c r="P86" s="35"/>
    </row>
    <row r="87" spans="2:16" ht="25.5" customHeight="1" thickBot="1" x14ac:dyDescent="0.3">
      <c r="B87" s="523" t="s">
        <v>112</v>
      </c>
      <c r="C87" s="524"/>
      <c r="D87" s="524"/>
      <c r="E87" s="525"/>
      <c r="F87" s="102"/>
      <c r="G87" s="102"/>
      <c r="H87" s="506" t="s">
        <v>390</v>
      </c>
      <c r="I87" s="766" t="s">
        <v>62</v>
      </c>
      <c r="J87" s="776"/>
      <c r="K87" s="776"/>
      <c r="L87" s="776"/>
      <c r="M87" s="777"/>
      <c r="N87" s="511">
        <f>J87+K87+L87+M87</f>
        <v>0</v>
      </c>
      <c r="O87" s="35"/>
      <c r="P87" s="35"/>
    </row>
    <row r="88" spans="2:16" ht="15" customHeight="1" thickBot="1" x14ac:dyDescent="0.3">
      <c r="B88" s="64" t="s">
        <v>116</v>
      </c>
      <c r="C88" s="63"/>
      <c r="D88" s="21" t="s">
        <v>68</v>
      </c>
      <c r="E88" s="65">
        <f>E71+E79+E84</f>
        <v>16623.894903517466</v>
      </c>
      <c r="F88" s="102"/>
      <c r="G88" s="102"/>
      <c r="N88" s="35"/>
      <c r="O88" s="35"/>
      <c r="P88" s="35"/>
    </row>
    <row r="89" spans="2:16" ht="15" customHeight="1" x14ac:dyDescent="0.25">
      <c r="B89" s="59" t="s">
        <v>117</v>
      </c>
      <c r="C89" s="60"/>
      <c r="D89" s="21" t="s">
        <v>102</v>
      </c>
      <c r="E89" s="98">
        <f>E88/D46</f>
        <v>1</v>
      </c>
      <c r="F89" s="102"/>
      <c r="G89" s="102"/>
      <c r="H89" s="20" t="s">
        <v>119</v>
      </c>
      <c r="I89" s="205" t="s">
        <v>120</v>
      </c>
      <c r="J89" s="205" t="s">
        <v>300</v>
      </c>
      <c r="K89" s="206" t="s">
        <v>240</v>
      </c>
      <c r="L89" s="206" t="s">
        <v>296</v>
      </c>
      <c r="N89" s="35"/>
      <c r="O89" s="35"/>
      <c r="P89" s="35"/>
    </row>
    <row r="90" spans="2:16" ht="15" customHeight="1" thickBot="1" x14ac:dyDescent="0.3">
      <c r="B90" s="61" t="s">
        <v>118</v>
      </c>
      <c r="C90" s="62"/>
      <c r="D90" s="22" t="s">
        <v>68</v>
      </c>
      <c r="E90" s="31">
        <f>J72</f>
        <v>184830.90416895223</v>
      </c>
      <c r="F90" s="102"/>
      <c r="G90" s="102"/>
      <c r="H90" s="207" t="s">
        <v>43</v>
      </c>
      <c r="I90" s="124"/>
      <c r="J90" s="124"/>
      <c r="K90" s="125"/>
      <c r="L90" s="512">
        <f>I90+J90+K90</f>
        <v>0</v>
      </c>
      <c r="M90" s="35"/>
      <c r="N90" s="35"/>
      <c r="O90" s="534"/>
      <c r="P90" s="35"/>
    </row>
    <row r="91" spans="2:16" ht="15" customHeight="1" x14ac:dyDescent="0.25">
      <c r="B91" s="102"/>
      <c r="C91" s="102"/>
      <c r="D91" s="102"/>
      <c r="E91" s="102"/>
      <c r="F91" s="102"/>
      <c r="G91" s="102"/>
      <c r="H91" s="35"/>
      <c r="I91" s="35"/>
      <c r="J91" s="35"/>
      <c r="K91" s="35"/>
      <c r="L91" s="35"/>
      <c r="M91" s="35"/>
      <c r="N91" s="35"/>
      <c r="O91" s="35"/>
      <c r="P91" s="35"/>
    </row>
    <row r="92" spans="2:16" ht="15" x14ac:dyDescent="0.25">
      <c r="B92" s="102"/>
      <c r="C92" s="102"/>
      <c r="D92" s="102"/>
      <c r="E92" s="102"/>
      <c r="F92" s="102"/>
      <c r="G92" s="102"/>
      <c r="H92" s="102"/>
      <c r="I92" s="102"/>
      <c r="J92" s="102"/>
      <c r="K92" s="102"/>
      <c r="L92" s="102"/>
      <c r="M92" s="102"/>
      <c r="N92" s="35"/>
      <c r="O92" s="35"/>
      <c r="P92" s="35"/>
    </row>
    <row r="93" spans="2:16" ht="25.5" customHeight="1" x14ac:dyDescent="0.25">
      <c r="B93" s="102"/>
      <c r="C93" s="102"/>
      <c r="D93" s="102"/>
      <c r="E93" s="102"/>
      <c r="F93" s="102"/>
      <c r="G93" s="102"/>
      <c r="H93" s="102"/>
      <c r="I93" s="102"/>
      <c r="J93" s="102"/>
      <c r="K93" s="102"/>
      <c r="L93" s="102"/>
      <c r="M93" s="102"/>
      <c r="N93" s="35"/>
      <c r="O93" s="35"/>
      <c r="P93" s="35"/>
    </row>
    <row r="94" spans="2:16" ht="15" x14ac:dyDescent="0.25">
      <c r="B94" s="102"/>
      <c r="C94" s="102"/>
      <c r="D94" s="102"/>
      <c r="E94" s="102"/>
      <c r="F94" s="102"/>
      <c r="G94" s="102"/>
      <c r="H94" s="102"/>
      <c r="I94" s="102"/>
      <c r="J94" s="102"/>
      <c r="K94" s="102"/>
      <c r="L94" s="102"/>
      <c r="M94" s="102"/>
      <c r="N94" s="35"/>
      <c r="O94" s="35"/>
      <c r="P94" s="35"/>
    </row>
    <row r="95" spans="2:16" ht="15" x14ac:dyDescent="0.25">
      <c r="B95" s="102"/>
      <c r="C95" s="102"/>
      <c r="D95" s="102"/>
      <c r="E95" s="102"/>
      <c r="F95" s="102"/>
      <c r="G95" s="102"/>
      <c r="H95" s="102"/>
      <c r="I95" s="102"/>
      <c r="J95" s="102"/>
      <c r="K95" s="102"/>
      <c r="L95" s="102"/>
      <c r="M95" s="102"/>
      <c r="N95" s="35"/>
      <c r="O95" s="35"/>
      <c r="P95" s="35"/>
    </row>
    <row r="96" spans="2:16" ht="15" x14ac:dyDescent="0.25">
      <c r="B96" s="102"/>
      <c r="C96" s="102"/>
      <c r="D96" s="102"/>
      <c r="E96" s="102"/>
      <c r="F96" s="102"/>
      <c r="G96" s="102"/>
      <c r="H96" s="102"/>
      <c r="I96" s="102"/>
      <c r="J96" s="102"/>
      <c r="K96" s="102"/>
      <c r="L96" s="102"/>
      <c r="M96" s="102"/>
      <c r="N96" s="35"/>
      <c r="O96" s="35"/>
      <c r="P96" s="35"/>
    </row>
    <row r="97" spans="2:16" ht="15" x14ac:dyDescent="0.25">
      <c r="B97" s="102"/>
      <c r="C97" s="102"/>
      <c r="D97" s="102"/>
      <c r="E97" s="102"/>
      <c r="F97" s="102"/>
      <c r="G97" s="102"/>
      <c r="H97" s="102"/>
      <c r="I97" s="102"/>
      <c r="J97" s="102"/>
      <c r="K97" s="102"/>
      <c r="L97" s="102"/>
      <c r="M97" s="102"/>
      <c r="N97" s="1156"/>
      <c r="O97" s="1156"/>
      <c r="P97" s="35"/>
    </row>
    <row r="98" spans="2:16" ht="15" x14ac:dyDescent="0.25">
      <c r="B98" s="102"/>
      <c r="C98" s="102"/>
      <c r="D98" s="102"/>
      <c r="E98" s="102"/>
      <c r="F98" s="102"/>
      <c r="G98" s="102"/>
      <c r="H98" s="102"/>
      <c r="I98" s="102"/>
      <c r="J98" s="102"/>
      <c r="K98" s="102"/>
      <c r="L98" s="102"/>
      <c r="M98" s="102"/>
      <c r="N98" s="1156"/>
      <c r="O98" s="1156"/>
      <c r="P98" s="1156"/>
    </row>
    <row r="99" spans="2:16" ht="15" x14ac:dyDescent="0.25">
      <c r="B99" s="102"/>
      <c r="C99" s="102"/>
      <c r="D99" s="102"/>
      <c r="E99" s="102"/>
      <c r="F99" s="102"/>
      <c r="G99" s="102"/>
      <c r="H99" s="102"/>
      <c r="I99" s="102"/>
      <c r="J99" s="102"/>
      <c r="K99" s="102"/>
      <c r="L99" s="102"/>
      <c r="M99" s="102"/>
      <c r="N99" s="35"/>
      <c r="O99" s="35"/>
      <c r="P99" s="35"/>
    </row>
    <row r="100" spans="2:16" ht="15.75" x14ac:dyDescent="0.25">
      <c r="B100" s="39" t="s">
        <v>305</v>
      </c>
      <c r="C100" s="102"/>
      <c r="D100" s="542"/>
      <c r="E100" s="102"/>
      <c r="F100" s="102"/>
      <c r="G100" s="102"/>
      <c r="H100" s="102"/>
      <c r="I100" s="102"/>
      <c r="J100" s="102"/>
      <c r="K100" s="102"/>
      <c r="L100" s="102"/>
      <c r="M100" s="102"/>
      <c r="N100" s="35"/>
      <c r="O100" s="35"/>
      <c r="P100" s="35"/>
    </row>
    <row r="101" spans="2:16" ht="15.75" x14ac:dyDescent="0.25">
      <c r="B101" s="39"/>
      <c r="C101" s="102"/>
      <c r="D101" s="102"/>
      <c r="E101" s="102"/>
      <c r="F101" s="102"/>
      <c r="G101" s="102"/>
      <c r="H101" s="102"/>
      <c r="I101" s="102"/>
      <c r="J101" s="102"/>
      <c r="K101" s="102"/>
      <c r="L101" s="102"/>
      <c r="M101" s="102"/>
      <c r="N101" s="35"/>
      <c r="O101" s="35"/>
      <c r="P101" s="35"/>
    </row>
    <row r="102" spans="2:16" ht="16.5" thickBot="1" x14ac:dyDescent="0.3">
      <c r="B102" s="603" t="s">
        <v>295</v>
      </c>
      <c r="C102" s="102"/>
      <c r="D102" s="102"/>
      <c r="E102" s="102"/>
      <c r="F102" s="102"/>
      <c r="G102" s="102"/>
      <c r="H102" s="102"/>
      <c r="I102" s="102"/>
      <c r="J102" s="102"/>
      <c r="K102" s="102"/>
      <c r="L102" s="102"/>
      <c r="M102" s="102"/>
      <c r="N102" s="35"/>
      <c r="O102" s="35"/>
      <c r="P102" s="35"/>
    </row>
    <row r="103" spans="2:16" ht="38.25" x14ac:dyDescent="0.25">
      <c r="B103" s="604" t="s">
        <v>302</v>
      </c>
      <c r="C103" s="605" t="s">
        <v>437</v>
      </c>
      <c r="D103" s="605" t="s">
        <v>122</v>
      </c>
      <c r="E103" s="606" t="s">
        <v>297</v>
      </c>
      <c r="F103" s="606" t="s">
        <v>298</v>
      </c>
      <c r="G103" s="102"/>
      <c r="H103" s="102"/>
      <c r="I103" s="102"/>
      <c r="J103" s="102"/>
      <c r="K103" s="102"/>
      <c r="L103" s="102"/>
      <c r="M103" s="102"/>
      <c r="N103" s="35"/>
      <c r="O103" s="35"/>
      <c r="P103" s="35"/>
    </row>
    <row r="104" spans="2:16" ht="15" x14ac:dyDescent="0.25">
      <c r="B104" s="607" t="s">
        <v>295</v>
      </c>
      <c r="C104" s="608">
        <v>3.0513120727258869</v>
      </c>
      <c r="D104" s="609">
        <v>3000</v>
      </c>
      <c r="E104" s="610">
        <f>C104*D104</f>
        <v>9153.9362181776614</v>
      </c>
      <c r="F104" s="610">
        <f>E104*$D$12/$D$19</f>
        <v>11163.41979391827</v>
      </c>
      <c r="G104" s="102"/>
      <c r="H104" s="102"/>
      <c r="I104" s="102"/>
      <c r="J104" s="102"/>
      <c r="K104" s="102"/>
      <c r="L104" s="102"/>
      <c r="M104" s="102"/>
      <c r="N104" s="35"/>
      <c r="O104" s="35"/>
      <c r="P104" s="35"/>
    </row>
    <row r="105" spans="2:16" ht="15" x14ac:dyDescent="0.25">
      <c r="B105" s="607"/>
      <c r="C105" s="611"/>
      <c r="D105" s="609"/>
      <c r="E105" s="610"/>
      <c r="F105" s="610"/>
      <c r="G105" s="102"/>
      <c r="H105" s="102"/>
      <c r="I105" s="102"/>
      <c r="J105" s="102"/>
      <c r="K105" s="102"/>
      <c r="L105" s="102"/>
      <c r="M105" s="102"/>
      <c r="N105" s="35"/>
      <c r="O105" s="35"/>
      <c r="P105" s="35"/>
    </row>
    <row r="106" spans="2:16" ht="38.25" x14ac:dyDescent="0.25">
      <c r="B106" s="612" t="s">
        <v>299</v>
      </c>
      <c r="C106" s="148" t="s">
        <v>437</v>
      </c>
      <c r="D106" s="148" t="s">
        <v>122</v>
      </c>
      <c r="E106" s="613" t="s">
        <v>297</v>
      </c>
      <c r="F106" s="613" t="s">
        <v>298</v>
      </c>
      <c r="G106" s="102"/>
      <c r="H106" s="102"/>
      <c r="I106" s="102"/>
      <c r="J106" s="102"/>
      <c r="K106" s="102"/>
      <c r="L106" s="544"/>
      <c r="M106" s="545"/>
      <c r="N106" s="35"/>
      <c r="O106" s="35"/>
      <c r="P106" s="35"/>
    </row>
    <row r="107" spans="2:16" ht="15" x14ac:dyDescent="0.25">
      <c r="B107" s="607" t="s">
        <v>295</v>
      </c>
      <c r="C107" s="608"/>
      <c r="D107" s="609">
        <f>D104</f>
        <v>3000</v>
      </c>
      <c r="E107" s="610">
        <f>C107*D107</f>
        <v>0</v>
      </c>
      <c r="F107" s="610">
        <f>$L$83+$L$84</f>
        <v>0</v>
      </c>
      <c r="G107" s="102"/>
      <c r="H107" s="614"/>
      <c r="I107" s="535"/>
      <c r="J107" s="102"/>
      <c r="K107" s="102"/>
      <c r="L107" s="543"/>
      <c r="M107" s="102"/>
      <c r="N107" s="35"/>
      <c r="O107" s="35"/>
      <c r="P107" s="35"/>
    </row>
    <row r="108" spans="2:16" ht="15" x14ac:dyDescent="0.25">
      <c r="B108" s="607"/>
      <c r="C108" s="611"/>
      <c r="D108" s="609"/>
      <c r="E108" s="610"/>
      <c r="F108" s="610"/>
      <c r="G108" s="102"/>
      <c r="H108" s="102"/>
      <c r="I108" s="102"/>
      <c r="J108" s="102"/>
      <c r="K108" s="102"/>
      <c r="L108" s="102"/>
      <c r="M108" s="102"/>
      <c r="N108" s="35"/>
      <c r="O108" s="35"/>
      <c r="P108" s="35"/>
    </row>
    <row r="109" spans="2:16" ht="51" x14ac:dyDescent="0.25">
      <c r="B109" s="612" t="s">
        <v>96</v>
      </c>
      <c r="C109" s="1157"/>
      <c r="D109" s="1158"/>
      <c r="E109" s="613" t="s">
        <v>319</v>
      </c>
      <c r="F109" s="613" t="s">
        <v>320</v>
      </c>
      <c r="G109" s="102"/>
      <c r="H109" s="102"/>
      <c r="I109" s="102"/>
      <c r="J109" s="102"/>
      <c r="K109" s="102"/>
      <c r="L109" s="102"/>
      <c r="M109" s="102"/>
      <c r="N109" s="35"/>
      <c r="O109" s="35"/>
      <c r="P109" s="35"/>
    </row>
    <row r="110" spans="2:16" ht="15" x14ac:dyDescent="0.25">
      <c r="B110" s="607" t="s">
        <v>295</v>
      </c>
      <c r="C110" s="1159"/>
      <c r="D110" s="1160"/>
      <c r="E110" s="610">
        <f>E104-E107</f>
        <v>9153.9362181776614</v>
      </c>
      <c r="F110" s="610">
        <f>F104-F107</f>
        <v>11163.41979391827</v>
      </c>
      <c r="G110" s="102"/>
      <c r="H110" s="102"/>
      <c r="I110" s="102"/>
      <c r="J110" s="102"/>
      <c r="K110" s="102"/>
      <c r="L110" s="102"/>
      <c r="M110" s="102"/>
      <c r="N110" s="35"/>
      <c r="O110" s="35"/>
      <c r="P110" s="35"/>
    </row>
    <row r="111" spans="2:16" ht="15.75" thickBot="1" x14ac:dyDescent="0.3">
      <c r="B111" s="615"/>
      <c r="C111" s="1161"/>
      <c r="D111" s="1162"/>
      <c r="E111" s="616"/>
      <c r="F111" s="616"/>
      <c r="G111" s="102"/>
      <c r="H111" s="102"/>
      <c r="I111" s="102"/>
      <c r="J111" s="102"/>
      <c r="K111" s="102"/>
      <c r="L111" s="102"/>
      <c r="M111" s="102"/>
      <c r="N111" s="35"/>
      <c r="O111" s="35"/>
      <c r="P111" s="35"/>
    </row>
    <row r="112" spans="2:16" ht="15" x14ac:dyDescent="0.25">
      <c r="B112" s="617"/>
      <c r="C112" s="617"/>
      <c r="D112" s="102"/>
      <c r="E112" s="102"/>
      <c r="F112" s="102"/>
      <c r="G112" s="102"/>
      <c r="H112" s="102"/>
      <c r="I112" s="102"/>
      <c r="J112" s="102"/>
      <c r="K112" s="102"/>
      <c r="L112" s="102"/>
      <c r="M112" s="102"/>
      <c r="N112" s="35"/>
      <c r="O112" s="35"/>
      <c r="P112" s="35"/>
    </row>
    <row r="113" spans="2:16" ht="15.75" x14ac:dyDescent="0.25">
      <c r="B113" s="603"/>
      <c r="C113" s="102"/>
      <c r="D113" s="102"/>
      <c r="E113" s="102"/>
      <c r="F113" s="102"/>
      <c r="G113" s="102"/>
      <c r="H113" s="102"/>
      <c r="I113" s="102"/>
      <c r="J113" s="102"/>
      <c r="K113" s="102"/>
      <c r="L113" s="102"/>
      <c r="M113" s="102"/>
      <c r="N113" s="35"/>
      <c r="O113" s="35"/>
      <c r="P113" s="35"/>
    </row>
    <row r="114" spans="2:16" ht="15.75" x14ac:dyDescent="0.25">
      <c r="B114" s="603"/>
      <c r="C114" s="102"/>
      <c r="D114" s="102"/>
      <c r="E114" s="102"/>
      <c r="F114" s="102"/>
      <c r="G114" s="102"/>
      <c r="H114" s="102"/>
      <c r="I114" s="102"/>
      <c r="J114" s="102"/>
      <c r="K114" s="102"/>
      <c r="L114" s="102"/>
      <c r="M114" s="102"/>
      <c r="N114" s="35"/>
      <c r="O114" s="35"/>
      <c r="P114" s="35"/>
    </row>
    <row r="115" spans="2:16" ht="21.75" customHeight="1" thickBot="1" x14ac:dyDescent="0.25">
      <c r="B115" s="603" t="s">
        <v>120</v>
      </c>
      <c r="C115" s="102"/>
      <c r="D115" s="102"/>
      <c r="E115" s="102"/>
      <c r="F115" s="102"/>
      <c r="G115" s="102"/>
      <c r="H115" s="102"/>
      <c r="I115" s="102"/>
      <c r="J115" s="102"/>
      <c r="K115" s="102"/>
      <c r="L115" s="102"/>
      <c r="M115" s="102"/>
      <c r="N115" s="102"/>
      <c r="O115" s="102"/>
      <c r="P115" s="102"/>
    </row>
    <row r="116" spans="2:16" ht="38.25" x14ac:dyDescent="0.2">
      <c r="B116" s="604" t="s">
        <v>302</v>
      </c>
      <c r="C116" s="605" t="s">
        <v>121</v>
      </c>
      <c r="D116" s="605" t="s">
        <v>122</v>
      </c>
      <c r="E116" s="606" t="s">
        <v>301</v>
      </c>
      <c r="F116" s="102"/>
      <c r="G116" s="102"/>
      <c r="H116" s="102"/>
      <c r="I116" s="102"/>
      <c r="J116" s="102"/>
      <c r="K116" s="102"/>
      <c r="L116" s="102"/>
      <c r="M116" s="102"/>
      <c r="N116" s="102"/>
      <c r="O116" s="102"/>
      <c r="P116" s="102"/>
    </row>
    <row r="117" spans="2:16" x14ac:dyDescent="0.2">
      <c r="B117" s="607" t="s">
        <v>123</v>
      </c>
      <c r="C117" s="608">
        <v>5.9</v>
      </c>
      <c r="D117" s="609">
        <v>2500</v>
      </c>
      <c r="E117" s="610">
        <f>C117*D117</f>
        <v>14750</v>
      </c>
      <c r="F117" s="102"/>
      <c r="G117" s="102"/>
      <c r="H117" s="102"/>
      <c r="I117" s="102"/>
      <c r="J117" s="102"/>
      <c r="K117" s="102"/>
      <c r="L117" s="102"/>
      <c r="M117" s="102"/>
      <c r="N117" s="102"/>
      <c r="O117" s="102"/>
      <c r="P117" s="102"/>
    </row>
    <row r="118" spans="2:16" x14ac:dyDescent="0.2">
      <c r="B118" s="607"/>
      <c r="C118" s="611"/>
      <c r="D118" s="609"/>
      <c r="E118" s="610"/>
      <c r="F118" s="102"/>
      <c r="G118" s="102"/>
      <c r="H118" s="102"/>
      <c r="I118" s="102"/>
      <c r="J118" s="102"/>
      <c r="K118" s="102"/>
      <c r="L118" s="102"/>
      <c r="M118" s="102"/>
      <c r="N118" s="102"/>
      <c r="O118" s="102"/>
      <c r="P118" s="102"/>
    </row>
    <row r="119" spans="2:16" ht="38.25" x14ac:dyDescent="0.2">
      <c r="B119" s="612" t="s">
        <v>124</v>
      </c>
      <c r="C119" s="148" t="s">
        <v>121</v>
      </c>
      <c r="D119" s="148" t="s">
        <v>122</v>
      </c>
      <c r="E119" s="613" t="s">
        <v>301</v>
      </c>
      <c r="F119" s="102"/>
      <c r="G119" s="102"/>
      <c r="H119" s="102"/>
      <c r="I119" s="102"/>
      <c r="J119" s="102"/>
      <c r="K119" s="102"/>
      <c r="L119" s="102"/>
      <c r="M119" s="102"/>
      <c r="N119" s="102"/>
      <c r="O119" s="102"/>
      <c r="P119" s="102"/>
    </row>
    <row r="120" spans="2:16" x14ac:dyDescent="0.2">
      <c r="B120" s="607" t="s">
        <v>123</v>
      </c>
      <c r="C120" s="608"/>
      <c r="D120" s="609">
        <f>D117</f>
        <v>2500</v>
      </c>
      <c r="E120" s="610">
        <f>C120*D120</f>
        <v>0</v>
      </c>
      <c r="F120" s="102"/>
      <c r="G120" s="102"/>
      <c r="H120" s="552"/>
      <c r="I120" s="102"/>
      <c r="J120" s="102"/>
      <c r="K120" s="102"/>
      <c r="L120" s="102"/>
      <c r="M120" s="102"/>
      <c r="N120" s="102"/>
      <c r="O120" s="102"/>
      <c r="P120" s="102"/>
    </row>
    <row r="121" spans="2:16" x14ac:dyDescent="0.2">
      <c r="B121" s="607"/>
      <c r="C121" s="611"/>
      <c r="D121" s="609"/>
      <c r="E121" s="610"/>
      <c r="F121" s="102"/>
      <c r="G121" s="102"/>
      <c r="H121" s="102"/>
      <c r="I121" s="102"/>
      <c r="J121" s="102"/>
      <c r="K121" s="102"/>
      <c r="L121" s="102"/>
      <c r="M121" s="102"/>
      <c r="N121" s="102"/>
      <c r="O121" s="102"/>
      <c r="P121" s="102"/>
    </row>
    <row r="122" spans="2:16" ht="25.5" x14ac:dyDescent="0.2">
      <c r="B122" s="612" t="s">
        <v>96</v>
      </c>
      <c r="C122" s="1157"/>
      <c r="D122" s="1158"/>
      <c r="E122" s="168" t="s">
        <v>125</v>
      </c>
      <c r="F122" s="102"/>
      <c r="G122" s="102"/>
      <c r="H122" s="102"/>
      <c r="I122" s="102"/>
      <c r="J122" s="102"/>
      <c r="K122" s="102"/>
      <c r="L122" s="102"/>
      <c r="M122" s="102"/>
      <c r="N122" s="102"/>
      <c r="O122" s="102"/>
      <c r="P122" s="102"/>
    </row>
    <row r="123" spans="2:16" x14ac:dyDescent="0.2">
      <c r="B123" s="607" t="s">
        <v>123</v>
      </c>
      <c r="C123" s="1159"/>
      <c r="D123" s="1160"/>
      <c r="E123" s="610">
        <f>E117-E120</f>
        <v>14750</v>
      </c>
      <c r="F123" s="102"/>
      <c r="G123" s="102"/>
      <c r="H123" s="102"/>
      <c r="I123" s="102"/>
      <c r="J123" s="102"/>
      <c r="K123" s="102"/>
      <c r="L123" s="102"/>
      <c r="M123" s="102"/>
      <c r="N123" s="102"/>
      <c r="O123" s="102"/>
      <c r="P123" s="102"/>
    </row>
    <row r="124" spans="2:16" ht="13.5" thickBot="1" x14ac:dyDescent="0.25">
      <c r="B124" s="615"/>
      <c r="C124" s="1161"/>
      <c r="D124" s="1162"/>
      <c r="E124" s="616"/>
      <c r="F124" s="102"/>
      <c r="G124" s="102"/>
      <c r="H124" s="102"/>
      <c r="I124" s="102"/>
      <c r="J124" s="102"/>
      <c r="K124" s="102"/>
      <c r="L124" s="102"/>
      <c r="M124" s="102"/>
      <c r="N124" s="102"/>
      <c r="O124" s="102"/>
      <c r="P124" s="102"/>
    </row>
    <row r="125" spans="2:16" x14ac:dyDescent="0.2">
      <c r="B125" s="617"/>
      <c r="C125" s="617"/>
      <c r="D125" s="617"/>
      <c r="E125" s="102"/>
      <c r="F125" s="102"/>
      <c r="G125" s="102"/>
      <c r="H125" s="102"/>
      <c r="I125" s="102"/>
      <c r="J125" s="102"/>
      <c r="K125" s="102"/>
      <c r="L125" s="102"/>
      <c r="M125" s="102"/>
      <c r="N125" s="102"/>
      <c r="O125" s="102"/>
      <c r="P125" s="102"/>
    </row>
    <row r="126" spans="2:16" x14ac:dyDescent="0.2">
      <c r="B126" s="102"/>
      <c r="C126" s="102"/>
      <c r="D126" s="102"/>
      <c r="E126" s="102"/>
      <c r="F126" s="102"/>
      <c r="G126" s="102"/>
      <c r="H126" s="102"/>
    </row>
    <row r="127" spans="2:16" x14ac:dyDescent="0.2">
      <c r="B127" s="102"/>
      <c r="C127" s="102"/>
      <c r="D127" s="102"/>
      <c r="E127" s="102"/>
      <c r="F127" s="102"/>
      <c r="G127" s="102"/>
      <c r="H127" s="102"/>
    </row>
    <row r="128" spans="2:16" ht="16.5" thickBot="1" x14ac:dyDescent="0.25">
      <c r="B128" s="603"/>
      <c r="C128" s="102"/>
      <c r="D128" s="102"/>
      <c r="E128" s="102"/>
      <c r="F128" s="102"/>
      <c r="G128" s="102"/>
      <c r="H128" s="102"/>
    </row>
    <row r="129" spans="2:8" x14ac:dyDescent="0.2">
      <c r="B129" s="618"/>
      <c r="C129" s="619"/>
      <c r="D129" s="620"/>
      <c r="E129" s="606"/>
      <c r="F129" s="102"/>
      <c r="G129" s="102"/>
      <c r="H129" s="102"/>
    </row>
    <row r="130" spans="2:8" x14ac:dyDescent="0.2">
      <c r="B130" s="621"/>
      <c r="C130" s="622"/>
      <c r="D130" s="623"/>
      <c r="E130" s="624"/>
      <c r="F130" s="102"/>
      <c r="G130" s="102"/>
      <c r="H130" s="102"/>
    </row>
    <row r="131" spans="2:8" x14ac:dyDescent="0.2">
      <c r="B131" s="621"/>
      <c r="C131" s="622"/>
      <c r="D131" s="623"/>
      <c r="E131" s="610"/>
      <c r="F131" s="102"/>
      <c r="G131" s="102"/>
      <c r="H131" s="102"/>
    </row>
    <row r="132" spans="2:8" x14ac:dyDescent="0.2">
      <c r="B132" s="1072"/>
      <c r="C132" s="1073"/>
      <c r="D132" s="1074"/>
      <c r="E132" s="613"/>
      <c r="F132" s="102"/>
      <c r="G132" s="102"/>
      <c r="H132" s="102"/>
    </row>
    <row r="133" spans="2:8" x14ac:dyDescent="0.2">
      <c r="B133" s="621"/>
      <c r="C133" s="622"/>
      <c r="D133" s="623"/>
      <c r="E133" s="624"/>
      <c r="F133" s="102"/>
      <c r="G133" s="102"/>
      <c r="H133" s="102"/>
    </row>
    <row r="134" spans="2:8" x14ac:dyDescent="0.2">
      <c r="B134" s="621"/>
      <c r="C134" s="622"/>
      <c r="D134" s="623"/>
      <c r="E134" s="610"/>
      <c r="F134" s="102"/>
      <c r="G134" s="102"/>
      <c r="H134" s="102"/>
    </row>
    <row r="135" spans="2:8" x14ac:dyDescent="0.2">
      <c r="B135" s="1072"/>
      <c r="C135" s="1073"/>
      <c r="D135" s="1074"/>
      <c r="E135" s="168"/>
      <c r="F135" s="102"/>
      <c r="G135" s="102"/>
      <c r="H135" s="102"/>
    </row>
    <row r="136" spans="2:8" x14ac:dyDescent="0.2">
      <c r="B136" s="621"/>
      <c r="C136" s="622"/>
      <c r="D136" s="623"/>
      <c r="E136" s="610"/>
      <c r="F136" s="102"/>
      <c r="G136" s="102"/>
      <c r="H136" s="102"/>
    </row>
    <row r="137" spans="2:8" ht="13.5" thickBot="1" x14ac:dyDescent="0.25">
      <c r="B137" s="741"/>
      <c r="C137" s="743"/>
      <c r="D137" s="742"/>
      <c r="E137" s="616"/>
      <c r="F137" s="102"/>
      <c r="G137" s="102"/>
      <c r="H137" s="102"/>
    </row>
    <row r="138" spans="2:8" x14ac:dyDescent="0.2">
      <c r="B138" s="40"/>
      <c r="C138" s="40"/>
      <c r="D138" s="40"/>
    </row>
    <row r="141" spans="2:8" s="736" customFormat="1" ht="16.5" thickBot="1" x14ac:dyDescent="0.25">
      <c r="B141" s="734"/>
      <c r="C141" s="735"/>
      <c r="D141" s="735"/>
      <c r="E141" s="735"/>
    </row>
    <row r="142" spans="2:8" s="736" customFormat="1" x14ac:dyDescent="0.2">
      <c r="B142" s="618"/>
      <c r="C142" s="619"/>
      <c r="D142" s="620"/>
      <c r="E142" s="737"/>
      <c r="F142" s="606"/>
    </row>
    <row r="143" spans="2:8" s="736" customFormat="1" x14ac:dyDescent="0.2">
      <c r="B143" s="621"/>
      <c r="C143" s="622"/>
      <c r="D143" s="623"/>
      <c r="E143" s="624"/>
      <c r="F143" s="610"/>
    </row>
    <row r="144" spans="2:8" s="736" customFormat="1" x14ac:dyDescent="0.2">
      <c r="B144" s="621"/>
      <c r="C144" s="622"/>
      <c r="D144" s="623"/>
      <c r="E144" s="738"/>
      <c r="F144" s="610"/>
    </row>
    <row r="145" spans="2:6" s="736" customFormat="1" x14ac:dyDescent="0.2">
      <c r="B145" s="1072"/>
      <c r="C145" s="1073"/>
      <c r="D145" s="1074"/>
      <c r="E145" s="739"/>
      <c r="F145" s="613"/>
    </row>
    <row r="146" spans="2:6" s="736" customFormat="1" x14ac:dyDescent="0.2">
      <c r="B146" s="621"/>
      <c r="C146" s="622"/>
      <c r="D146" s="623"/>
      <c r="E146" s="624"/>
      <c r="F146" s="610"/>
    </row>
    <row r="147" spans="2:6" s="736" customFormat="1" x14ac:dyDescent="0.2">
      <c r="B147" s="621"/>
      <c r="C147" s="622"/>
      <c r="D147" s="623"/>
      <c r="E147" s="738"/>
      <c r="F147" s="610"/>
    </row>
    <row r="148" spans="2:6" s="736" customFormat="1" x14ac:dyDescent="0.2">
      <c r="B148" s="1072"/>
      <c r="C148" s="1073"/>
      <c r="D148" s="1074"/>
      <c r="E148" s="739"/>
      <c r="F148" s="613"/>
    </row>
    <row r="149" spans="2:6" s="736" customFormat="1" x14ac:dyDescent="0.2">
      <c r="B149" s="621"/>
      <c r="C149" s="622"/>
      <c r="D149" s="623"/>
      <c r="E149" s="738"/>
      <c r="F149" s="610"/>
    </row>
    <row r="150" spans="2:6" s="736" customFormat="1" ht="13.5" thickBot="1" x14ac:dyDescent="0.25">
      <c r="B150" s="741"/>
      <c r="C150" s="743"/>
      <c r="D150" s="742"/>
      <c r="E150" s="740"/>
      <c r="F150" s="616"/>
    </row>
  </sheetData>
  <mergeCells count="16">
    <mergeCell ref="N97:O97"/>
    <mergeCell ref="N98:P98"/>
    <mergeCell ref="C109:D111"/>
    <mergeCell ref="C122:D124"/>
    <mergeCell ref="N55:P55"/>
    <mergeCell ref="N71:O71"/>
    <mergeCell ref="H72:I72"/>
    <mergeCell ref="N72:P72"/>
    <mergeCell ref="H73:J73"/>
    <mergeCell ref="N79:P79"/>
    <mergeCell ref="B6:C6"/>
    <mergeCell ref="B7:C7"/>
    <mergeCell ref="B8:C8"/>
    <mergeCell ref="H12:J12"/>
    <mergeCell ref="B55:E55"/>
    <mergeCell ref="H55:J55"/>
  </mergeCells>
  <pageMargins left="0.70866141732283472" right="0.70866141732283472" top="0.74803149606299213" bottom="0.74803149606299213" header="0.31496062992125984" footer="0.31496062992125984"/>
  <pageSetup paperSize="9" scale="29" orientation="portrait" r:id="rId1"/>
  <headerFooter>
    <oddHeader>&amp;LProgram izvajanja koncesije "Celovita energetska prenova 7 objektov UKC LJ"&amp;R&amp;A</oddHeader>
    <oddFooter>&amp;RStran &amp;P /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2D8FD87-EE2C-4770-8B5E-25FA9F43E8FF}">
          <x14:formula1>
            <xm:f>'Osnovni podatki'!$B$6:$B$9</xm:f>
          </x14:formula1>
          <xm:sqref>D6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CBB62-4C54-4364-934B-1A25DA878DB1}">
  <sheetPr>
    <pageSetUpPr fitToPage="1"/>
  </sheetPr>
  <dimension ref="B2:P150"/>
  <sheetViews>
    <sheetView showWhiteSpace="0" topLeftCell="A116" zoomScale="85" zoomScaleNormal="85" zoomScaleSheetLayoutView="85" workbookViewId="0">
      <selection activeCell="H133" sqref="H133"/>
    </sheetView>
  </sheetViews>
  <sheetFormatPr defaultColWidth="9.140625" defaultRowHeight="12.75" x14ac:dyDescent="0.2"/>
  <cols>
    <col min="1" max="1" width="4.85546875" style="32" customWidth="1"/>
    <col min="2" max="2" width="61.42578125" style="32" bestFit="1" customWidth="1"/>
    <col min="3" max="3" width="11.140625" style="32" bestFit="1" customWidth="1"/>
    <col min="4" max="4" width="15" style="32" customWidth="1"/>
    <col min="5" max="5" width="17.28515625" style="32" customWidth="1"/>
    <col min="6" max="6" width="16.42578125" style="32" customWidth="1"/>
    <col min="7" max="7" width="3.7109375" style="32" customWidth="1"/>
    <col min="8" max="8" width="42.7109375" style="32" customWidth="1"/>
    <col min="9" max="13" width="17.7109375" style="32" customWidth="1"/>
    <col min="14" max="14" width="14.5703125" style="32" customWidth="1"/>
    <col min="15" max="15" width="9.140625" style="32"/>
    <col min="16" max="16" width="9.140625" style="32" customWidth="1"/>
    <col min="17" max="16384" width="9.140625" style="32"/>
  </cols>
  <sheetData>
    <row r="2" spans="2:15" ht="20.25" x14ac:dyDescent="0.2">
      <c r="B2" s="37" t="s">
        <v>81</v>
      </c>
      <c r="C2" s="102"/>
      <c r="D2" s="102"/>
      <c r="E2" s="102"/>
      <c r="F2" s="102"/>
      <c r="G2" s="102"/>
      <c r="H2" s="102"/>
      <c r="I2" s="102"/>
      <c r="J2" s="102"/>
      <c r="K2" s="102"/>
      <c r="L2" s="102"/>
      <c r="M2" s="102"/>
      <c r="N2" s="102"/>
      <c r="O2" s="102"/>
    </row>
    <row r="4" spans="2:15" ht="16.5" thickBot="1" x14ac:dyDescent="0.25">
      <c r="B4" s="39" t="s">
        <v>303</v>
      </c>
      <c r="C4" s="102"/>
      <c r="D4" s="102"/>
      <c r="E4" s="102"/>
      <c r="F4" s="102"/>
      <c r="G4" s="102"/>
      <c r="H4" s="102"/>
      <c r="I4" s="102"/>
      <c r="J4" s="102"/>
      <c r="K4" s="102"/>
      <c r="L4" s="102"/>
      <c r="M4" s="102"/>
      <c r="N4" s="102"/>
      <c r="O4" s="102"/>
    </row>
    <row r="5" spans="2:15" ht="15" customHeight="1" x14ac:dyDescent="0.2">
      <c r="B5" s="7" t="s">
        <v>82</v>
      </c>
      <c r="C5" s="165"/>
      <c r="D5" s="166"/>
      <c r="E5" s="102"/>
      <c r="F5" s="102"/>
      <c r="G5" s="102"/>
      <c r="H5" s="102"/>
      <c r="I5" s="102"/>
      <c r="J5" s="102"/>
      <c r="K5" s="102"/>
      <c r="L5" s="102"/>
      <c r="M5" s="102"/>
      <c r="N5" s="102"/>
      <c r="O5" s="102"/>
    </row>
    <row r="6" spans="2:15" ht="15" customHeight="1" x14ac:dyDescent="0.2">
      <c r="B6" s="1163" t="s">
        <v>51</v>
      </c>
      <c r="C6" s="1164"/>
      <c r="D6" s="167">
        <v>6</v>
      </c>
      <c r="E6" s="102"/>
      <c r="F6" s="102"/>
      <c r="G6" s="102"/>
      <c r="H6" s="102"/>
      <c r="I6" s="102"/>
      <c r="J6" s="102"/>
      <c r="K6" s="102"/>
      <c r="L6" s="102"/>
      <c r="M6" s="102"/>
      <c r="N6" s="102"/>
      <c r="O6" s="102"/>
    </row>
    <row r="7" spans="2:15" ht="15" customHeight="1" x14ac:dyDescent="0.2">
      <c r="B7" s="1163" t="s">
        <v>52</v>
      </c>
      <c r="C7" s="1164"/>
      <c r="D7" s="167" t="e">
        <f>INDEX('Referenčne količine'!$B$4:$G$15,MATCH(B7,('Referenčne količine'!$B$4:$B$15),0),MATCH($D$6,'Referenčne količine'!$B$5:$G$5,0))</f>
        <v>#N/A</v>
      </c>
      <c r="E7" s="102"/>
      <c r="F7" s="102"/>
      <c r="G7" s="102"/>
      <c r="H7" s="102"/>
      <c r="I7" s="102"/>
      <c r="J7" s="102"/>
      <c r="K7" s="102"/>
      <c r="L7" s="102"/>
      <c r="M7" s="102"/>
      <c r="N7" s="102"/>
      <c r="O7" s="102"/>
    </row>
    <row r="8" spans="2:15" ht="39.950000000000003" customHeight="1" x14ac:dyDescent="0.2">
      <c r="B8" s="1163" t="s">
        <v>53</v>
      </c>
      <c r="C8" s="1164"/>
      <c r="D8" s="168" t="e">
        <f>INDEX('Referenčne količine'!$B$4:$G$15,MATCH(B8,('Referenčne količine'!$B$4:$B$15),0),MATCH($D$6,'Referenčne količine'!$B$5:$G$5,0))</f>
        <v>#N/A</v>
      </c>
      <c r="E8" s="102"/>
      <c r="F8" s="102"/>
      <c r="G8" s="102"/>
      <c r="H8" s="102"/>
      <c r="I8" s="102"/>
      <c r="J8" s="102"/>
      <c r="K8" s="102"/>
      <c r="L8" s="102"/>
      <c r="M8" s="102"/>
      <c r="N8" s="102"/>
      <c r="O8" s="102"/>
    </row>
    <row r="9" spans="2:15" ht="15" customHeight="1" x14ac:dyDescent="0.2">
      <c r="B9" s="6" t="s">
        <v>54</v>
      </c>
      <c r="C9" s="5" t="s">
        <v>55</v>
      </c>
      <c r="D9" s="29" t="e">
        <f>INDEX('Referenčne količine'!$B$4:$G$15,MATCH(B9,('Referenčne količine'!$B$4:$B$15),0),MATCH($D$6,'Referenčne količine'!$B$5:$G$5,0))</f>
        <v>#N/A</v>
      </c>
      <c r="E9" s="102"/>
      <c r="F9" s="102"/>
      <c r="G9" s="102"/>
      <c r="H9" s="102"/>
      <c r="I9" s="102"/>
      <c r="J9" s="102"/>
      <c r="K9" s="102"/>
      <c r="L9" s="102"/>
      <c r="M9" s="102"/>
      <c r="N9" s="102"/>
      <c r="O9" s="102"/>
    </row>
    <row r="10" spans="2:15" ht="15" customHeight="1" thickBot="1" x14ac:dyDescent="0.25">
      <c r="B10" s="3" t="s">
        <v>83</v>
      </c>
      <c r="C10" s="8"/>
      <c r="D10" s="9"/>
      <c r="E10" s="102"/>
      <c r="F10" s="102"/>
      <c r="G10" s="102"/>
      <c r="H10" s="39" t="s">
        <v>84</v>
      </c>
      <c r="I10" s="102"/>
      <c r="J10" s="102"/>
      <c r="K10" s="102"/>
      <c r="L10" s="102"/>
      <c r="M10" s="102"/>
      <c r="N10" s="102"/>
      <c r="O10" s="102"/>
    </row>
    <row r="11" spans="2:15" ht="15" customHeight="1" x14ac:dyDescent="0.2">
      <c r="B11" s="169" t="s">
        <v>63</v>
      </c>
      <c r="C11" s="170"/>
      <c r="D11" s="167" t="e">
        <f>INDEX('Referenčne količine'!$B$16:$G$36,MATCH(B11,('Referenčne količine'!$B$16:$B$36),0),MATCH($D$6,'Referenčne količine'!$B$5:$G$5,0))</f>
        <v>#N/A</v>
      </c>
      <c r="E11" s="102"/>
      <c r="F11" s="102"/>
      <c r="G11" s="102"/>
      <c r="H11" s="107" t="s">
        <v>84</v>
      </c>
      <c r="I11" s="108"/>
      <c r="J11" s="109"/>
      <c r="K11" s="50" t="e">
        <f>D7</f>
        <v>#N/A</v>
      </c>
      <c r="L11" s="102"/>
      <c r="M11" s="102"/>
      <c r="N11" s="102"/>
      <c r="O11" s="102"/>
    </row>
    <row r="12" spans="2:15" ht="15" customHeight="1" x14ac:dyDescent="0.2">
      <c r="B12" s="171" t="s">
        <v>272</v>
      </c>
      <c r="C12" s="150" t="s">
        <v>64</v>
      </c>
      <c r="D12" s="29" t="e">
        <f>INDEX('Referenčne količine'!$B$16:$G$36,MATCH(B12,('Referenčne količine'!$B$16:$B$36),0),MATCH($D$6,'Referenčne količine'!$B$5:$G$5,0))</f>
        <v>#N/A</v>
      </c>
      <c r="E12" s="102"/>
      <c r="F12" s="102"/>
      <c r="G12" s="102"/>
      <c r="H12" s="1165" t="s">
        <v>85</v>
      </c>
      <c r="I12" s="1166"/>
      <c r="J12" s="1167"/>
      <c r="K12" s="51" t="s">
        <v>12</v>
      </c>
      <c r="L12" s="102"/>
      <c r="M12" s="102"/>
      <c r="N12" s="102"/>
      <c r="O12" s="242"/>
    </row>
    <row r="13" spans="2:15" ht="15" customHeight="1" x14ac:dyDescent="0.2">
      <c r="B13" s="171" t="s">
        <v>273</v>
      </c>
      <c r="C13" s="150" t="s">
        <v>64</v>
      </c>
      <c r="D13" s="29" t="e">
        <f>INDEX('Referenčne količine'!$B$16:$G$36,MATCH(B13,('Referenčne količine'!$B$16:$B$36),0),MATCH($D$6,'Referenčne količine'!$B$5:$G$5,0))</f>
        <v>#N/A</v>
      </c>
      <c r="E13" s="102"/>
      <c r="F13" s="102"/>
      <c r="G13" s="102"/>
      <c r="H13" s="208" t="e">
        <v>#N/A</v>
      </c>
      <c r="I13" s="209"/>
      <c r="J13" s="210"/>
      <c r="K13" s="172" t="e">
        <v>#N/A</v>
      </c>
      <c r="L13" s="102"/>
      <c r="M13" s="102"/>
      <c r="N13" s="102"/>
      <c r="O13" s="102"/>
    </row>
    <row r="14" spans="2:15" ht="15" customHeight="1" x14ac:dyDescent="0.2">
      <c r="B14" s="171" t="s">
        <v>274</v>
      </c>
      <c r="C14" s="150" t="s">
        <v>64</v>
      </c>
      <c r="D14" s="29" t="e">
        <f>INDEX('Referenčne količine'!$B$16:$G$36,MATCH(B14,('Referenčne količine'!$B$16:$B$36),0),MATCH($D$6,'Referenčne količine'!$B$5:$G$5,0))</f>
        <v>#N/A</v>
      </c>
      <c r="E14" s="102"/>
      <c r="F14" s="102"/>
      <c r="G14" s="102"/>
      <c r="H14" s="208"/>
      <c r="I14" s="209"/>
      <c r="J14" s="210"/>
      <c r="K14" s="172"/>
      <c r="L14" s="102"/>
      <c r="M14" s="102"/>
      <c r="N14" s="102"/>
      <c r="O14" s="102"/>
    </row>
    <row r="15" spans="2:15" ht="15" customHeight="1" x14ac:dyDescent="0.2">
      <c r="B15" s="171" t="s">
        <v>275</v>
      </c>
      <c r="C15" s="150" t="s">
        <v>64</v>
      </c>
      <c r="D15" s="29" t="e">
        <f>INDEX('Referenčne količine'!$B$16:$G$36,MATCH(B15,('Referenčne količine'!$B$16:$B$36),0),MATCH($D$6,'Referenčne količine'!$B$5:$G$5,0))</f>
        <v>#N/A</v>
      </c>
      <c r="E15" s="102"/>
      <c r="F15" s="102"/>
      <c r="G15" s="102"/>
      <c r="H15" s="208"/>
      <c r="I15" s="209"/>
      <c r="J15" s="210"/>
      <c r="K15" s="172"/>
      <c r="L15" s="102"/>
      <c r="M15" s="102"/>
      <c r="N15" s="102"/>
      <c r="O15" s="102"/>
    </row>
    <row r="16" spans="2:15" ht="15" customHeight="1" x14ac:dyDescent="0.2">
      <c r="B16" s="171" t="s">
        <v>285</v>
      </c>
      <c r="C16" s="150" t="s">
        <v>64</v>
      </c>
      <c r="D16" s="29" t="e">
        <f>INDEX('Referenčne količine'!$B$16:$G$36,MATCH(B16,('Referenčne količine'!$B$16:$B$36),0),MATCH($D$6,'Referenčne količine'!$B$5:$G$5,0))</f>
        <v>#N/A</v>
      </c>
      <c r="E16" s="102"/>
      <c r="F16" s="102"/>
      <c r="G16" s="102"/>
      <c r="H16" s="173"/>
      <c r="I16" s="174"/>
      <c r="J16" s="175"/>
      <c r="K16" s="172"/>
      <c r="L16" s="102"/>
      <c r="M16" s="102"/>
      <c r="N16" s="102"/>
      <c r="O16" s="102"/>
    </row>
    <row r="17" spans="2:15" ht="15" customHeight="1" x14ac:dyDescent="0.2">
      <c r="B17" s="171" t="s">
        <v>276</v>
      </c>
      <c r="C17" s="150" t="s">
        <v>64</v>
      </c>
      <c r="D17" s="29" t="e">
        <f>INDEX('Referenčne količine'!$B$16:$G$36,MATCH(B17,('Referenčne količine'!$B$16:$B$36),0),MATCH($D$6,'Referenčne količine'!$B$5:$G$5,0))</f>
        <v>#N/A</v>
      </c>
      <c r="E17" s="102"/>
      <c r="F17" s="102"/>
      <c r="G17" s="102"/>
      <c r="H17" s="173"/>
      <c r="I17" s="174"/>
      <c r="J17" s="175"/>
      <c r="K17" s="172"/>
      <c r="L17" s="102"/>
      <c r="M17" s="102"/>
      <c r="N17" s="102"/>
      <c r="O17" s="102"/>
    </row>
    <row r="18" spans="2:15" ht="15" customHeight="1" thickBot="1" x14ac:dyDescent="0.25">
      <c r="B18" s="536" t="s">
        <v>378</v>
      </c>
      <c r="C18" s="482" t="s">
        <v>64</v>
      </c>
      <c r="D18" s="537" t="e">
        <f>INDEX('Referenčne količine'!$B$16:$G$36,MATCH(B18,('Referenčne količine'!$B$16:$B$36),0),MATCH($D$6,'Referenčne količine'!$B$5:$G$5,0))</f>
        <v>#N/A</v>
      </c>
      <c r="E18" s="102"/>
      <c r="F18" s="102"/>
      <c r="G18" s="102"/>
      <c r="H18" s="173"/>
      <c r="I18" s="174"/>
      <c r="J18" s="175"/>
      <c r="K18" s="172"/>
      <c r="L18" s="102"/>
      <c r="M18" s="102"/>
      <c r="N18" s="102"/>
      <c r="O18" s="102"/>
    </row>
    <row r="19" spans="2:15" ht="15" customHeight="1" x14ac:dyDescent="0.25">
      <c r="B19" s="487" t="s">
        <v>286</v>
      </c>
      <c r="C19" s="203" t="s">
        <v>64</v>
      </c>
      <c r="D19" s="540" t="e">
        <f>INDEX('Referenčne količine'!$B$16:$G$36,MATCH(B19,('Referenčne količine'!$B$16:$B$36),0),MATCH($D$6,'Referenčne količine'!$B$5:$G$5,0))</f>
        <v>#N/A</v>
      </c>
      <c r="E19" s="35"/>
      <c r="F19" s="102"/>
      <c r="G19" s="102"/>
      <c r="H19" s="173"/>
      <c r="I19" s="174"/>
      <c r="J19" s="175"/>
      <c r="K19" s="172"/>
      <c r="L19" s="102"/>
      <c r="M19" s="102"/>
      <c r="N19" s="102"/>
      <c r="O19" s="102"/>
    </row>
    <row r="20" spans="2:15" ht="15" customHeight="1" x14ac:dyDescent="0.2">
      <c r="B20" s="171" t="s">
        <v>287</v>
      </c>
      <c r="C20" s="150" t="s">
        <v>64</v>
      </c>
      <c r="D20" s="29" t="e">
        <f>INDEX('Referenčne količine'!$B$16:$G$36,MATCH(B20,('Referenčne količine'!$B$16:$B$36),0),MATCH($D$6,'Referenčne količine'!$B$5:$G$5,0))</f>
        <v>#N/A</v>
      </c>
      <c r="E20" s="102"/>
      <c r="F20" s="102"/>
      <c r="G20" s="102"/>
      <c r="H20" s="173"/>
      <c r="I20" s="174"/>
      <c r="J20" s="175"/>
      <c r="K20" s="172"/>
      <c r="L20" s="102"/>
      <c r="M20" s="102"/>
      <c r="N20" s="102"/>
      <c r="O20" s="102"/>
    </row>
    <row r="21" spans="2:15" ht="15" customHeight="1" x14ac:dyDescent="0.2">
      <c r="B21" s="4" t="s">
        <v>288</v>
      </c>
      <c r="C21" s="2" t="s">
        <v>64</v>
      </c>
      <c r="D21" s="531" t="e">
        <f>INDEX('Referenčne količine'!$B$16:$G$36,MATCH(B21,('Referenčne količine'!$B$16:$B$36),0),MATCH($D$6,'Referenčne količine'!$B$5:$G$5,0))</f>
        <v>#N/A</v>
      </c>
      <c r="E21" s="102"/>
      <c r="F21" s="102"/>
      <c r="G21" s="102"/>
      <c r="H21" s="173"/>
      <c r="I21" s="174"/>
      <c r="J21" s="175"/>
      <c r="K21" s="172"/>
      <c r="L21" s="102"/>
      <c r="M21" s="102"/>
      <c r="N21" s="102"/>
      <c r="O21" s="102"/>
    </row>
    <row r="22" spans="2:15" ht="15" customHeight="1" x14ac:dyDescent="0.2">
      <c r="B22" s="171" t="s">
        <v>289</v>
      </c>
      <c r="C22" s="150" t="s">
        <v>64</v>
      </c>
      <c r="D22" s="29" t="e">
        <f>INDEX('Referenčne količine'!$B$16:$G$36,MATCH(B22,('Referenčne količine'!$B$16:$B$36),0),MATCH($D$6,'Referenčne količine'!$B$5:$G$5,0))</f>
        <v>#N/A</v>
      </c>
      <c r="E22" s="102"/>
      <c r="F22" s="102"/>
      <c r="G22" s="102"/>
      <c r="H22" s="173"/>
      <c r="I22" s="174"/>
      <c r="J22" s="175"/>
      <c r="K22" s="172"/>
      <c r="L22" s="102"/>
      <c r="M22" s="102"/>
      <c r="N22" s="102"/>
      <c r="O22" s="102"/>
    </row>
    <row r="23" spans="2:15" ht="15" customHeight="1" x14ac:dyDescent="0.2">
      <c r="B23" s="171" t="s">
        <v>290</v>
      </c>
      <c r="C23" s="150" t="s">
        <v>64</v>
      </c>
      <c r="D23" s="29" t="e">
        <f>INDEX('Referenčne količine'!$B$16:$G$36,MATCH(B23,('Referenčne količine'!$B$16:$B$36),0),MATCH($D$6,'Referenčne količine'!$B$5:$G$5,0))</f>
        <v>#N/A</v>
      </c>
      <c r="E23" s="102"/>
      <c r="F23" s="102"/>
      <c r="G23" s="102"/>
      <c r="H23" s="104"/>
      <c r="I23" s="105"/>
      <c r="J23" s="106"/>
      <c r="K23" s="172"/>
      <c r="L23" s="102"/>
      <c r="M23" s="97"/>
      <c r="N23" s="102"/>
      <c r="O23" s="102"/>
    </row>
    <row r="24" spans="2:15" ht="15" customHeight="1" x14ac:dyDescent="0.2">
      <c r="B24" s="171" t="s">
        <v>291</v>
      </c>
      <c r="C24" s="150" t="s">
        <v>64</v>
      </c>
      <c r="D24" s="29" t="e">
        <f>INDEX('Referenčne količine'!$B$16:$G$36,MATCH(B24,('Referenčne količine'!$B$16:$B$36),0),MATCH($D$6,'Referenčne količine'!$B$5:$G$5,0))</f>
        <v>#N/A</v>
      </c>
      <c r="E24" s="102"/>
      <c r="F24" s="102"/>
      <c r="G24" s="102"/>
      <c r="H24" s="104"/>
      <c r="I24" s="105"/>
      <c r="J24" s="106"/>
      <c r="K24" s="172"/>
      <c r="L24" s="102"/>
      <c r="M24" s="102"/>
      <c r="N24" s="102"/>
      <c r="O24" s="102"/>
    </row>
    <row r="25" spans="2:15" ht="15" customHeight="1" thickBot="1" x14ac:dyDescent="0.25">
      <c r="B25" s="204" t="s">
        <v>381</v>
      </c>
      <c r="C25" s="217" t="s">
        <v>64</v>
      </c>
      <c r="D25" s="541" t="e">
        <f>INDEX('Referenčne količine'!$B$16:$G$36,MATCH(B25,('Referenčne količine'!$B$16:$B$36),0),MATCH($D$6,'Referenčne količine'!$B$5:$G$5,0))</f>
        <v>#N/A</v>
      </c>
      <c r="E25" s="102"/>
      <c r="F25" s="102"/>
      <c r="G25" s="102"/>
      <c r="H25" s="104"/>
      <c r="I25" s="105"/>
      <c r="J25" s="106"/>
      <c r="K25" s="172"/>
      <c r="L25" s="102"/>
      <c r="M25" s="102"/>
      <c r="N25" s="102"/>
      <c r="O25" s="102"/>
    </row>
    <row r="26" spans="2:15" ht="15" customHeight="1" x14ac:dyDescent="0.2">
      <c r="B26" s="538" t="s">
        <v>268</v>
      </c>
      <c r="C26" s="486" t="s">
        <v>66</v>
      </c>
      <c r="D26" s="539" t="e">
        <f>INDEX('Referenčne količine'!$B$16:$G$36,MATCH(B26,('Referenčne količine'!$B$16:$B$36),0),MATCH($D$6,'Referenčne količine'!$B$5:$G$5,0))</f>
        <v>#N/A</v>
      </c>
      <c r="E26" s="102"/>
      <c r="F26" s="102"/>
      <c r="G26" s="102"/>
      <c r="H26" s="104"/>
      <c r="I26" s="105"/>
      <c r="J26" s="106"/>
      <c r="K26" s="172"/>
      <c r="L26" s="102"/>
      <c r="M26" s="102"/>
      <c r="N26" s="102"/>
      <c r="O26" s="102"/>
    </row>
    <row r="27" spans="2:15" ht="15" customHeight="1" x14ac:dyDescent="0.2">
      <c r="B27" s="171" t="s">
        <v>292</v>
      </c>
      <c r="C27" s="150" t="s">
        <v>66</v>
      </c>
      <c r="D27" s="176" t="e">
        <f>INDEX('Referenčne količine'!$B$16:$G$36,MATCH(B27,('Referenčne količine'!$B$16:$B$36),0),MATCH($D$6,'Referenčne količine'!$B$5:$G$5,0))</f>
        <v>#N/A</v>
      </c>
      <c r="E27" s="102"/>
      <c r="F27" s="102"/>
      <c r="G27" s="102"/>
      <c r="H27" s="104"/>
      <c r="I27" s="105"/>
      <c r="J27" s="106"/>
      <c r="K27" s="172"/>
      <c r="L27" s="102"/>
      <c r="M27" s="127"/>
      <c r="N27" s="102"/>
      <c r="O27" s="102"/>
    </row>
    <row r="28" spans="2:15" ht="15" customHeight="1" x14ac:dyDescent="0.2">
      <c r="B28" s="171" t="s">
        <v>67</v>
      </c>
      <c r="C28" s="150" t="s">
        <v>68</v>
      </c>
      <c r="D28" s="177" t="e">
        <f>INDEX('Referenčne količine'!$B$16:$G$36,MATCH(B28,('Referenčne količine'!$B$16:$B$36),0),MATCH($D$6,'Referenčne količine'!$B$5:$G$5,0))</f>
        <v>#N/A</v>
      </c>
      <c r="E28" s="102"/>
      <c r="F28" s="102"/>
      <c r="G28" s="102"/>
      <c r="H28" s="104"/>
      <c r="I28" s="105"/>
      <c r="J28" s="106"/>
      <c r="K28" s="172"/>
      <c r="L28" s="102"/>
      <c r="M28" s="102"/>
      <c r="N28" s="102"/>
      <c r="O28" s="102"/>
    </row>
    <row r="29" spans="2:15" ht="15" customHeight="1" x14ac:dyDescent="0.2">
      <c r="B29" s="171" t="s">
        <v>69</v>
      </c>
      <c r="C29" s="150" t="s">
        <v>68</v>
      </c>
      <c r="D29" s="177" t="e">
        <f>INDEX('Referenčne količine'!$B$16:$G$36,MATCH(B29,('Referenčne količine'!$B$16:$B$36),0),MATCH($D$6,'Referenčne količine'!$B$5:$G$5,0))</f>
        <v>#N/A</v>
      </c>
      <c r="E29" s="102"/>
      <c r="F29" s="102"/>
      <c r="G29" s="102"/>
      <c r="H29" s="104"/>
      <c r="I29" s="105"/>
      <c r="J29" s="106"/>
      <c r="K29" s="172"/>
      <c r="L29" s="102"/>
      <c r="M29" s="102"/>
      <c r="N29" s="102"/>
      <c r="O29" s="102"/>
    </row>
    <row r="30" spans="2:15" ht="15" customHeight="1" x14ac:dyDescent="0.2">
      <c r="B30" s="171" t="s">
        <v>277</v>
      </c>
      <c r="C30" s="150" t="s">
        <v>68</v>
      </c>
      <c r="D30" s="177" t="e">
        <f>INDEX('Referenčne količine'!$B$16:$G$36,MATCH(B30,('Referenčne količine'!$B$16:$B$36),0),MATCH($D$6,'Referenčne količine'!$B$5:$G$5,0))</f>
        <v>#N/A</v>
      </c>
      <c r="E30" s="102"/>
      <c r="F30" s="102"/>
      <c r="G30" s="102"/>
      <c r="H30" s="126"/>
      <c r="I30" s="174"/>
      <c r="J30" s="175"/>
      <c r="K30" s="172"/>
      <c r="L30" s="102"/>
      <c r="M30" s="102"/>
      <c r="N30" s="102"/>
      <c r="O30" s="102"/>
    </row>
    <row r="31" spans="2:15" ht="15" customHeight="1" x14ac:dyDescent="0.2">
      <c r="B31" s="10" t="s">
        <v>86</v>
      </c>
      <c r="C31" s="11"/>
      <c r="D31" s="12"/>
      <c r="E31" s="102"/>
      <c r="F31" s="102"/>
      <c r="G31" s="102"/>
      <c r="H31" s="173"/>
      <c r="I31" s="174"/>
      <c r="J31" s="175"/>
      <c r="K31" s="172"/>
      <c r="L31" s="102"/>
      <c r="M31" s="102"/>
      <c r="N31" s="102"/>
      <c r="O31" s="102"/>
    </row>
    <row r="32" spans="2:15" ht="15" customHeight="1" x14ac:dyDescent="0.2">
      <c r="B32" s="178" t="s">
        <v>278</v>
      </c>
      <c r="C32" s="155" t="s">
        <v>64</v>
      </c>
      <c r="D32" s="29" t="e">
        <f>INDEX('Referenčne količine'!$B$37:$G$47,MATCH(B32,('Referenčne količine'!$B$37:$B$47),0),MATCH($D$6,'Referenčne količine'!$B$5:$G$5,0))</f>
        <v>#N/A</v>
      </c>
      <c r="E32" s="102"/>
      <c r="F32" s="102"/>
      <c r="G32" s="102"/>
      <c r="H32" s="173"/>
      <c r="I32" s="174"/>
      <c r="J32" s="175"/>
      <c r="K32" s="172"/>
      <c r="L32" s="102"/>
      <c r="M32" s="102"/>
      <c r="N32" s="102"/>
      <c r="O32" s="102"/>
    </row>
    <row r="33" spans="2:12" ht="15" customHeight="1" x14ac:dyDescent="0.2">
      <c r="B33" s="178" t="s">
        <v>279</v>
      </c>
      <c r="C33" s="155" t="s">
        <v>64</v>
      </c>
      <c r="D33" s="29" t="e">
        <f>INDEX('Referenčne količine'!$B$37:$G$47,MATCH(B33,('Referenčne količine'!$B$37:$B$47),0),MATCH($D$6,'Referenčne količine'!$B$5:$G$5,0))</f>
        <v>#N/A</v>
      </c>
      <c r="E33" s="102"/>
      <c r="F33" s="102"/>
      <c r="G33" s="102"/>
      <c r="H33" s="110" t="s">
        <v>87</v>
      </c>
      <c r="I33" s="111"/>
      <c r="J33" s="112"/>
      <c r="K33" s="179" t="e">
        <f>SUM(K13:K32)</f>
        <v>#N/A</v>
      </c>
      <c r="L33" s="102"/>
    </row>
    <row r="34" spans="2:12" ht="15" customHeight="1" x14ac:dyDescent="0.2">
      <c r="B34" s="178" t="s">
        <v>280</v>
      </c>
      <c r="C34" s="155" t="s">
        <v>64</v>
      </c>
      <c r="D34" s="29" t="e">
        <f>INDEX('Referenčne količine'!$B$37:$G$47,MATCH(B34,('Referenčne količine'!$B$37:$B$47),0),MATCH($D$6,'Referenčne količine'!$B$5:$G$5,0))</f>
        <v>#N/A</v>
      </c>
      <c r="E34" s="102"/>
      <c r="F34" s="102"/>
      <c r="G34" s="102"/>
      <c r="H34" s="110" t="s">
        <v>88</v>
      </c>
      <c r="I34" s="111"/>
      <c r="J34" s="112"/>
      <c r="K34" s="179" t="e">
        <f>0.22*K33</f>
        <v>#N/A</v>
      </c>
      <c r="L34" s="102"/>
    </row>
    <row r="35" spans="2:12" ht="18.75" customHeight="1" thickBot="1" x14ac:dyDescent="0.25">
      <c r="B35" s="178" t="s">
        <v>281</v>
      </c>
      <c r="C35" s="155" t="s">
        <v>64</v>
      </c>
      <c r="D35" s="29" t="e">
        <f>INDEX('Referenčne količine'!$B$37:$G$47,MATCH(B35,('Referenčne količine'!$B$37:$B$47),0),MATCH($D$6,'Referenčne količine'!$B$5:$G$5,0))</f>
        <v>#N/A</v>
      </c>
      <c r="E35" s="102"/>
      <c r="F35" s="102"/>
      <c r="G35" s="102"/>
      <c r="H35" s="113" t="s">
        <v>89</v>
      </c>
      <c r="I35" s="114"/>
      <c r="J35" s="115"/>
      <c r="K35" s="180" t="e">
        <f>K33+K34</f>
        <v>#N/A</v>
      </c>
      <c r="L35" s="102"/>
    </row>
    <row r="36" spans="2:12" ht="18.75" customHeight="1" x14ac:dyDescent="0.2">
      <c r="B36" s="178" t="s">
        <v>283</v>
      </c>
      <c r="C36" s="155" t="s">
        <v>64</v>
      </c>
      <c r="D36" s="29" t="e">
        <f>INDEX('Referenčne količine'!$B$37:$G$47,MATCH(B36,('Referenčne količine'!$B$37:$B$47),0),MATCH($D$6,'Referenčne količine'!$B$5:$G$5,0))</f>
        <v>#N/A</v>
      </c>
      <c r="E36" s="102"/>
      <c r="F36" s="102"/>
      <c r="G36" s="102"/>
      <c r="H36" s="102"/>
      <c r="I36" s="102"/>
      <c r="J36" s="102"/>
      <c r="K36" s="102"/>
      <c r="L36" s="102"/>
    </row>
    <row r="37" spans="2:12" ht="18.75" customHeight="1" x14ac:dyDescent="0.2">
      <c r="B37" s="178" t="s">
        <v>282</v>
      </c>
      <c r="C37" s="155" t="s">
        <v>64</v>
      </c>
      <c r="D37" s="29" t="e">
        <f>INDEX('Referenčne količine'!$B$37:$G$47,MATCH(B37,('Referenčne količine'!$B$37:$B$47),0),MATCH($D$6,'Referenčne količine'!$B$5:$G$5,0))</f>
        <v>#N/A</v>
      </c>
      <c r="E37" s="102"/>
      <c r="F37" s="102"/>
      <c r="G37" s="102"/>
      <c r="H37" s="102" t="s">
        <v>90</v>
      </c>
      <c r="I37" s="102"/>
      <c r="J37" s="102"/>
      <c r="K37" s="102"/>
      <c r="L37" s="102"/>
    </row>
    <row r="38" spans="2:12" ht="15" customHeight="1" x14ac:dyDescent="0.2">
      <c r="B38" s="178" t="s">
        <v>293</v>
      </c>
      <c r="C38" s="155" t="s">
        <v>66</v>
      </c>
      <c r="D38" s="176" t="e">
        <f>INDEX('Referenčne količine'!$B$37:$G$47,MATCH(B38,('Referenčne količine'!$B$37:$B$47),0),MATCH($D$6,'Referenčne količine'!$B$5:$G$5,0))</f>
        <v>#N/A</v>
      </c>
      <c r="E38" s="102"/>
      <c r="F38" s="102"/>
      <c r="G38" s="102"/>
      <c r="H38" s="102"/>
      <c r="I38" s="102"/>
      <c r="J38" s="102"/>
      <c r="K38" s="102"/>
      <c r="L38" s="102"/>
    </row>
    <row r="39" spans="2:12" ht="15" customHeight="1" x14ac:dyDescent="0.2">
      <c r="B39" s="178" t="s">
        <v>67</v>
      </c>
      <c r="C39" s="155" t="s">
        <v>68</v>
      </c>
      <c r="D39" s="177" t="e">
        <f>INDEX('Referenčne količine'!$B$37:$G$47,MATCH(B39,('Referenčne količine'!$B$37:$B$47),0),MATCH($D$6,'Referenčne količine'!$B$5:$G$5,0))</f>
        <v>#N/A</v>
      </c>
      <c r="E39" s="102"/>
      <c r="F39" s="102"/>
      <c r="G39" s="102"/>
      <c r="H39" s="102"/>
      <c r="I39" s="102"/>
      <c r="J39" s="102"/>
      <c r="K39" s="102"/>
      <c r="L39" s="102"/>
    </row>
    <row r="40" spans="2:12" ht="15" customHeight="1" x14ac:dyDescent="0.2">
      <c r="B40" s="178" t="s">
        <v>69</v>
      </c>
      <c r="C40" s="155" t="s">
        <v>68</v>
      </c>
      <c r="D40" s="177" t="e">
        <f>INDEX('Referenčne količine'!$B$37:$G$47,MATCH(B40,('Referenčne količine'!$B$37:$B$47),0),MATCH($D$6,'Referenčne količine'!$B$5:$G$5,0))</f>
        <v>#N/A</v>
      </c>
      <c r="E40" s="102"/>
      <c r="F40" s="102"/>
      <c r="G40" s="102"/>
      <c r="H40" s="102"/>
      <c r="I40" s="102"/>
      <c r="J40" s="102"/>
      <c r="K40" s="102"/>
      <c r="L40" s="102"/>
    </row>
    <row r="41" spans="2:12" x14ac:dyDescent="0.2">
      <c r="B41" s="178" t="s">
        <v>70</v>
      </c>
      <c r="C41" s="155" t="s">
        <v>68</v>
      </c>
      <c r="D41" s="177" t="e">
        <f>INDEX('Referenčne količine'!$B$37:$G$47,MATCH(B41,('Referenčne količine'!$B$37:$B$47),0),MATCH($D$6,'Referenčne količine'!$B$5:$G$5,0))</f>
        <v>#N/A</v>
      </c>
    </row>
    <row r="42" spans="2:12" x14ac:dyDescent="0.2">
      <c r="B42" s="13" t="s">
        <v>71</v>
      </c>
      <c r="C42" s="14"/>
      <c r="D42" s="15"/>
    </row>
    <row r="43" spans="2:12" x14ac:dyDescent="0.2">
      <c r="B43" s="181" t="s">
        <v>72</v>
      </c>
      <c r="C43" s="159" t="s">
        <v>68</v>
      </c>
      <c r="D43" s="177" t="e">
        <f>INDEX('Referenčne količine'!$B$48:$G$49,MATCH(B43,('Referenčne količine'!$B$48:$B$49),0),MATCH($D$6,'Referenčne količine'!$B$5:$G$5,0))</f>
        <v>#N/A</v>
      </c>
      <c r="E43" s="102"/>
      <c r="F43" s="102"/>
      <c r="G43" s="102"/>
      <c r="H43" s="102"/>
      <c r="I43" s="102"/>
      <c r="J43" s="102"/>
      <c r="K43" s="102"/>
      <c r="L43" s="87"/>
    </row>
    <row r="44" spans="2:12" x14ac:dyDescent="0.2">
      <c r="B44" s="16" t="s">
        <v>73</v>
      </c>
      <c r="C44" s="17"/>
      <c r="D44" s="18"/>
    </row>
    <row r="45" spans="2:12" x14ac:dyDescent="0.2">
      <c r="B45" s="182" t="s">
        <v>74</v>
      </c>
      <c r="C45" s="163" t="s">
        <v>68</v>
      </c>
      <c r="D45" s="177" t="e">
        <f>INDEX('Referenčne količine'!$B$50:$G$52,MATCH(B45,('Referenčne količine'!$B$50:$B$52),0),MATCH($D$6,'Referenčne količine'!$B$5:$G$5,0))</f>
        <v>#N/A</v>
      </c>
      <c r="E45" s="102"/>
      <c r="F45" s="102"/>
      <c r="G45" s="102"/>
      <c r="H45" s="102"/>
      <c r="I45" s="102"/>
      <c r="J45" s="102"/>
      <c r="K45" s="102"/>
      <c r="L45" s="102"/>
    </row>
    <row r="46" spans="2:12" ht="13.5" thickBot="1" x14ac:dyDescent="0.25">
      <c r="B46" s="183" t="s">
        <v>284</v>
      </c>
      <c r="C46" s="184" t="s">
        <v>68</v>
      </c>
      <c r="D46" s="185" t="e">
        <f>INDEX('Referenčne količine'!$B$50:$G$52,MATCH(B46,('Referenčne količine'!$B$50:$B$52),0),MATCH($D$6,'Referenčne količine'!$B$5:$G$5,0))</f>
        <v>#N/A</v>
      </c>
    </row>
    <row r="47" spans="2:12" x14ac:dyDescent="0.2">
      <c r="E47" s="102"/>
      <c r="F47" s="102"/>
      <c r="G47" s="102"/>
      <c r="H47" s="102"/>
      <c r="I47" s="102"/>
      <c r="J47" s="102"/>
      <c r="K47" s="102"/>
      <c r="L47" s="102"/>
    </row>
    <row r="54" spans="2:16" ht="16.5" thickBot="1" x14ac:dyDescent="0.3">
      <c r="B54" s="39" t="s">
        <v>304</v>
      </c>
      <c r="C54" s="102"/>
      <c r="D54" s="102"/>
      <c r="E54" s="102"/>
      <c r="F54" s="102"/>
      <c r="G54" s="102"/>
      <c r="H54" s="39" t="s">
        <v>91</v>
      </c>
      <c r="I54" s="102"/>
      <c r="J54" s="102"/>
      <c r="K54" s="102"/>
      <c r="L54" s="102"/>
      <c r="M54" s="102"/>
      <c r="N54" s="35"/>
      <c r="O54" s="35"/>
      <c r="P54" s="35"/>
    </row>
    <row r="55" spans="2:16" ht="15" customHeight="1" x14ac:dyDescent="0.25">
      <c r="B55" s="1168" t="s">
        <v>92</v>
      </c>
      <c r="C55" s="1169"/>
      <c r="D55" s="1169"/>
      <c r="E55" s="1170"/>
      <c r="F55" s="102"/>
      <c r="G55" s="102"/>
      <c r="H55" s="1171" t="s">
        <v>93</v>
      </c>
      <c r="I55" s="1172"/>
      <c r="J55" s="1173"/>
      <c r="K55" s="102"/>
      <c r="L55" s="102"/>
      <c r="M55" s="102"/>
      <c r="N55" s="1156"/>
      <c r="O55" s="1156"/>
      <c r="P55" s="1156"/>
    </row>
    <row r="56" spans="2:16" ht="15" customHeight="1" x14ac:dyDescent="0.25">
      <c r="B56" s="187" t="s">
        <v>306</v>
      </c>
      <c r="C56" s="508" t="e">
        <f>D11</f>
        <v>#N/A</v>
      </c>
      <c r="D56" s="122" t="s">
        <v>64</v>
      </c>
      <c r="E56" s="29" t="e">
        <f>SUM(J83:M83)</f>
        <v>#N/A</v>
      </c>
      <c r="F56" s="102"/>
      <c r="G56" s="102"/>
      <c r="H56" s="25" t="s">
        <v>95</v>
      </c>
      <c r="I56" s="26" t="s">
        <v>96</v>
      </c>
      <c r="J56" s="27" t="s">
        <v>97</v>
      </c>
      <c r="K56" s="102"/>
      <c r="L56" s="102"/>
      <c r="M56" s="102"/>
      <c r="N56" s="35"/>
      <c r="O56" s="35"/>
      <c r="P56" s="35"/>
    </row>
    <row r="57" spans="2:16" ht="15" customHeight="1" x14ac:dyDescent="0.25">
      <c r="B57" s="187" t="s">
        <v>307</v>
      </c>
      <c r="C57" s="508" t="s">
        <v>99</v>
      </c>
      <c r="D57" s="122" t="s">
        <v>64</v>
      </c>
      <c r="E57" s="29" t="e">
        <f>SUM(J84:M84)</f>
        <v>#N/A</v>
      </c>
      <c r="F57" s="102"/>
      <c r="G57" s="102"/>
      <c r="H57" s="28">
        <v>1</v>
      </c>
      <c r="I57" s="23" t="e">
        <f t="shared" ref="I57:I71" si="0">$E$88</f>
        <v>#N/A</v>
      </c>
      <c r="J57" s="24" t="e">
        <f t="shared" ref="J57:J71" si="1">I57/((1+$J$74)^H57)</f>
        <v>#N/A</v>
      </c>
      <c r="K57" s="102"/>
      <c r="L57" s="102"/>
      <c r="M57" s="102"/>
      <c r="N57" s="35"/>
      <c r="O57" s="35"/>
      <c r="P57" s="35"/>
    </row>
    <row r="58" spans="2:16" ht="15" customHeight="1" x14ac:dyDescent="0.25">
      <c r="B58" s="187" t="s">
        <v>308</v>
      </c>
      <c r="C58" s="509" t="s">
        <v>31</v>
      </c>
      <c r="D58" s="122" t="s">
        <v>64</v>
      </c>
      <c r="E58" s="29">
        <f>SUM(J85:M85)</f>
        <v>0</v>
      </c>
      <c r="F58" s="102"/>
      <c r="G58" s="102"/>
      <c r="H58" s="28">
        <v>2</v>
      </c>
      <c r="I58" s="23" t="e">
        <f t="shared" si="0"/>
        <v>#N/A</v>
      </c>
      <c r="J58" s="24" t="e">
        <f t="shared" si="1"/>
        <v>#N/A</v>
      </c>
      <c r="K58" s="102"/>
      <c r="L58" s="102"/>
      <c r="M58" s="102"/>
      <c r="N58" s="35"/>
      <c r="O58" s="35"/>
      <c r="P58" s="35"/>
    </row>
    <row r="59" spans="2:16" ht="15" customHeight="1" x14ac:dyDescent="0.25">
      <c r="B59" s="527" t="s">
        <v>318</v>
      </c>
      <c r="C59" s="530"/>
      <c r="D59" s="99" t="s">
        <v>64</v>
      </c>
      <c r="E59" s="531" t="e">
        <f>SUM(E56:E58)</f>
        <v>#N/A</v>
      </c>
      <c r="F59" s="102"/>
      <c r="G59" s="102"/>
      <c r="H59" s="28">
        <v>3</v>
      </c>
      <c r="I59" s="23" t="e">
        <f t="shared" si="0"/>
        <v>#N/A</v>
      </c>
      <c r="J59" s="24" t="e">
        <f t="shared" si="1"/>
        <v>#N/A</v>
      </c>
      <c r="K59" s="102"/>
      <c r="L59" s="102"/>
      <c r="M59" s="102"/>
      <c r="N59" s="35"/>
      <c r="O59" s="35"/>
      <c r="P59" s="35"/>
    </row>
    <row r="60" spans="2:16" ht="15" customHeight="1" x14ac:dyDescent="0.25">
      <c r="B60" s="527" t="s">
        <v>322</v>
      </c>
      <c r="C60" s="530"/>
      <c r="D60" s="99" t="s">
        <v>64</v>
      </c>
      <c r="E60" s="531" t="e">
        <f>N87</f>
        <v>#N/A</v>
      </c>
      <c r="F60" s="102"/>
      <c r="G60" s="102"/>
      <c r="H60" s="28">
        <v>4</v>
      </c>
      <c r="I60" s="23" t="e">
        <f t="shared" si="0"/>
        <v>#N/A</v>
      </c>
      <c r="J60" s="24" t="e">
        <f t="shared" si="1"/>
        <v>#N/A</v>
      </c>
      <c r="K60" s="102"/>
      <c r="L60" s="102"/>
      <c r="M60" s="102"/>
      <c r="N60" s="35"/>
      <c r="O60" s="35"/>
      <c r="P60" s="35"/>
    </row>
    <row r="61" spans="2:16" ht="15" customHeight="1" x14ac:dyDescent="0.25">
      <c r="B61" s="187" t="s">
        <v>309</v>
      </c>
      <c r="C61" s="508" t="e">
        <f>C56</f>
        <v>#N/A</v>
      </c>
      <c r="D61" s="122" t="s">
        <v>66</v>
      </c>
      <c r="E61" s="186" t="e">
        <f>D26</f>
        <v>#N/A</v>
      </c>
      <c r="F61" s="102"/>
      <c r="G61" s="102"/>
      <c r="H61" s="28">
        <v>5</v>
      </c>
      <c r="I61" s="23" t="e">
        <f t="shared" si="0"/>
        <v>#N/A</v>
      </c>
      <c r="J61" s="24" t="e">
        <f t="shared" si="1"/>
        <v>#N/A</v>
      </c>
      <c r="K61" s="102"/>
      <c r="L61" s="102"/>
      <c r="M61" s="102"/>
      <c r="N61" s="35"/>
      <c r="O61" s="35"/>
      <c r="P61" s="35"/>
    </row>
    <row r="62" spans="2:16" ht="15" customHeight="1" x14ac:dyDescent="0.25">
      <c r="B62" s="187" t="s">
        <v>310</v>
      </c>
      <c r="C62" s="508" t="str">
        <f>C57</f>
        <v>EE za TČ</v>
      </c>
      <c r="D62" s="122" t="s">
        <v>66</v>
      </c>
      <c r="E62" s="186" t="e">
        <f>D38</f>
        <v>#N/A</v>
      </c>
      <c r="F62" s="102"/>
      <c r="G62" s="102"/>
      <c r="H62" s="28">
        <v>6</v>
      </c>
      <c r="I62" s="23" t="e">
        <f t="shared" si="0"/>
        <v>#N/A</v>
      </c>
      <c r="J62" s="24" t="e">
        <f t="shared" si="1"/>
        <v>#N/A</v>
      </c>
      <c r="K62" s="102"/>
      <c r="L62" s="102"/>
      <c r="M62" s="102"/>
      <c r="N62" s="35"/>
      <c r="O62" s="35"/>
      <c r="P62" s="35"/>
    </row>
    <row r="63" spans="2:16" ht="15" customHeight="1" x14ac:dyDescent="0.25">
      <c r="B63" s="187" t="s">
        <v>311</v>
      </c>
      <c r="C63" s="509" t="str">
        <f>C58</f>
        <v>*vpiši</v>
      </c>
      <c r="D63" s="122" t="s">
        <v>66</v>
      </c>
      <c r="E63" s="186">
        <v>0</v>
      </c>
      <c r="F63" s="102"/>
      <c r="G63" s="102"/>
      <c r="H63" s="28">
        <v>7</v>
      </c>
      <c r="I63" s="23" t="e">
        <f t="shared" si="0"/>
        <v>#N/A</v>
      </c>
      <c r="J63" s="24" t="e">
        <f t="shared" si="1"/>
        <v>#N/A</v>
      </c>
      <c r="K63" s="102"/>
      <c r="L63" s="102"/>
      <c r="M63" s="102"/>
      <c r="N63" s="35"/>
      <c r="O63" s="35"/>
      <c r="P63" s="35"/>
    </row>
    <row r="64" spans="2:16" ht="15" customHeight="1" x14ac:dyDescent="0.25">
      <c r="B64" s="187" t="s">
        <v>292</v>
      </c>
      <c r="C64" s="509"/>
      <c r="D64" s="122" t="s">
        <v>66</v>
      </c>
      <c r="E64" s="186">
        <f>IFERROR(E70/E60*1000,0)</f>
        <v>0</v>
      </c>
      <c r="F64" s="102"/>
      <c r="G64" s="102"/>
      <c r="H64" s="28">
        <v>8</v>
      </c>
      <c r="I64" s="23" t="e">
        <f t="shared" si="0"/>
        <v>#N/A</v>
      </c>
      <c r="J64" s="24" t="e">
        <f t="shared" si="1"/>
        <v>#N/A</v>
      </c>
      <c r="K64" s="102"/>
      <c r="L64" s="102"/>
      <c r="M64" s="102"/>
      <c r="N64" s="35"/>
      <c r="O64" s="35"/>
      <c r="P64" s="35"/>
    </row>
    <row r="65" spans="2:16" ht="15" customHeight="1" x14ac:dyDescent="0.25">
      <c r="B65" s="187" t="s">
        <v>312</v>
      </c>
      <c r="C65" s="508" t="e">
        <f>C56</f>
        <v>#N/A</v>
      </c>
      <c r="D65" s="122" t="s">
        <v>64</v>
      </c>
      <c r="E65" s="30" t="e">
        <f>D14-E56</f>
        <v>#N/A</v>
      </c>
      <c r="F65" s="102"/>
      <c r="G65" s="102"/>
      <c r="H65" s="28">
        <v>9</v>
      </c>
      <c r="I65" s="23" t="e">
        <f t="shared" si="0"/>
        <v>#N/A</v>
      </c>
      <c r="J65" s="24" t="e">
        <f t="shared" si="1"/>
        <v>#N/A</v>
      </c>
      <c r="K65" s="102"/>
      <c r="L65" s="102"/>
      <c r="M65" s="102"/>
      <c r="N65" s="35"/>
      <c r="O65" s="35"/>
      <c r="P65" s="35"/>
    </row>
    <row r="66" spans="2:16" ht="15" customHeight="1" x14ac:dyDescent="0.25">
      <c r="B66" s="187" t="s">
        <v>313</v>
      </c>
      <c r="C66" s="508" t="str">
        <f>C57</f>
        <v>EE za TČ</v>
      </c>
      <c r="D66" s="122" t="s">
        <v>64</v>
      </c>
      <c r="E66" s="30" t="e">
        <f>(-1)*E57</f>
        <v>#N/A</v>
      </c>
      <c r="F66" s="102"/>
      <c r="G66" s="102"/>
      <c r="H66" s="28">
        <v>10</v>
      </c>
      <c r="I66" s="23" t="e">
        <f t="shared" si="0"/>
        <v>#N/A</v>
      </c>
      <c r="J66" s="24" t="e">
        <f t="shared" si="1"/>
        <v>#N/A</v>
      </c>
      <c r="K66" s="102"/>
      <c r="L66" s="102"/>
      <c r="M66" s="102"/>
      <c r="N66" s="35"/>
      <c r="O66" s="35"/>
      <c r="P66" s="35"/>
    </row>
    <row r="67" spans="2:16" ht="15" customHeight="1" x14ac:dyDescent="0.25">
      <c r="B67" s="187" t="s">
        <v>314</v>
      </c>
      <c r="C67" s="508" t="str">
        <f>C58</f>
        <v>*vpiši</v>
      </c>
      <c r="D67" s="122" t="s">
        <v>64</v>
      </c>
      <c r="E67" s="30">
        <f>(-1)*E58</f>
        <v>0</v>
      </c>
      <c r="F67" s="102"/>
      <c r="G67" s="102"/>
      <c r="H67" s="28">
        <v>11</v>
      </c>
      <c r="I67" s="23" t="e">
        <f t="shared" si="0"/>
        <v>#N/A</v>
      </c>
      <c r="J67" s="24" t="e">
        <f t="shared" si="1"/>
        <v>#N/A</v>
      </c>
      <c r="K67" s="102"/>
      <c r="L67" s="102"/>
      <c r="M67" s="102"/>
      <c r="N67" s="35"/>
      <c r="O67" s="35"/>
      <c r="P67" s="35"/>
    </row>
    <row r="68" spans="2:16" ht="15" customHeight="1" x14ac:dyDescent="0.25">
      <c r="B68" s="527" t="s">
        <v>317</v>
      </c>
      <c r="C68" s="528"/>
      <c r="D68" s="99" t="s">
        <v>64</v>
      </c>
      <c r="E68" s="529" t="e">
        <f>SUM(E65:E67)</f>
        <v>#N/A</v>
      </c>
      <c r="F68" s="102"/>
      <c r="G68" s="102"/>
      <c r="H68" s="28">
        <v>12</v>
      </c>
      <c r="I68" s="23" t="e">
        <f t="shared" si="0"/>
        <v>#N/A</v>
      </c>
      <c r="J68" s="24" t="e">
        <f t="shared" si="1"/>
        <v>#N/A</v>
      </c>
      <c r="K68" s="102"/>
      <c r="L68" s="102"/>
      <c r="M68" s="102"/>
      <c r="N68" s="35"/>
      <c r="O68" s="35"/>
      <c r="P68" s="35"/>
    </row>
    <row r="69" spans="2:16" ht="15" customHeight="1" x14ac:dyDescent="0.25">
      <c r="B69" s="527" t="s">
        <v>323</v>
      </c>
      <c r="C69" s="528"/>
      <c r="D69" s="99" t="s">
        <v>64</v>
      </c>
      <c r="E69" s="529" t="e">
        <f>D21-E60</f>
        <v>#N/A</v>
      </c>
      <c r="F69" s="102"/>
      <c r="G69" s="102"/>
      <c r="H69" s="28">
        <v>13</v>
      </c>
      <c r="I69" s="23" t="e">
        <f t="shared" si="0"/>
        <v>#N/A</v>
      </c>
      <c r="J69" s="24" t="e">
        <f t="shared" si="1"/>
        <v>#N/A</v>
      </c>
      <c r="K69" s="102"/>
      <c r="L69" s="102"/>
      <c r="M69" s="102"/>
      <c r="N69" s="35"/>
      <c r="O69" s="35"/>
      <c r="P69" s="35"/>
    </row>
    <row r="70" spans="2:16" ht="15" customHeight="1" x14ac:dyDescent="0.25">
      <c r="B70" s="187" t="s">
        <v>315</v>
      </c>
      <c r="C70" s="188"/>
      <c r="D70" s="122" t="s">
        <v>68</v>
      </c>
      <c r="E70" s="179" t="e">
        <f>(E56*E61+E57*E62+E58*E63)/1000</f>
        <v>#N/A</v>
      </c>
      <c r="F70" s="102"/>
      <c r="G70" s="102"/>
      <c r="H70" s="28">
        <v>14</v>
      </c>
      <c r="I70" s="23" t="e">
        <f t="shared" si="0"/>
        <v>#N/A</v>
      </c>
      <c r="J70" s="24" t="e">
        <f t="shared" si="1"/>
        <v>#N/A</v>
      </c>
      <c r="K70" s="102"/>
      <c r="L70" s="102"/>
      <c r="M70" s="102"/>
      <c r="N70" s="35"/>
      <c r="O70" s="35"/>
      <c r="P70" s="35"/>
    </row>
    <row r="71" spans="2:16" ht="15" customHeight="1" x14ac:dyDescent="0.25">
      <c r="B71" s="527" t="s">
        <v>101</v>
      </c>
      <c r="C71" s="532"/>
      <c r="D71" s="99" t="s">
        <v>68</v>
      </c>
      <c r="E71" s="65" t="e">
        <f>D30-E70</f>
        <v>#N/A</v>
      </c>
      <c r="F71" s="779">
        <v>129282.89947062556</v>
      </c>
      <c r="G71" s="102"/>
      <c r="H71" s="28">
        <v>15</v>
      </c>
      <c r="I71" s="23" t="e">
        <f t="shared" si="0"/>
        <v>#N/A</v>
      </c>
      <c r="J71" s="24" t="e">
        <f t="shared" si="1"/>
        <v>#N/A</v>
      </c>
      <c r="K71" s="102"/>
      <c r="L71" s="102"/>
      <c r="M71" s="102"/>
      <c r="N71" s="1156"/>
      <c r="O71" s="1156"/>
      <c r="P71" s="35"/>
    </row>
    <row r="72" spans="2:16" ht="15" customHeight="1" thickBot="1" x14ac:dyDescent="0.3">
      <c r="B72" s="189" t="s">
        <v>108</v>
      </c>
      <c r="C72" s="190"/>
      <c r="D72" s="191" t="s">
        <v>102</v>
      </c>
      <c r="E72" s="192" t="e">
        <f>E71/D30</f>
        <v>#N/A</v>
      </c>
      <c r="F72" s="102"/>
      <c r="G72" s="102"/>
      <c r="H72" s="1174" t="s">
        <v>105</v>
      </c>
      <c r="I72" s="1175"/>
      <c r="J72" s="52" t="e">
        <f>SUM(J57:J71)</f>
        <v>#N/A</v>
      </c>
      <c r="K72" s="102"/>
      <c r="L72" s="102"/>
      <c r="M72" s="102"/>
      <c r="N72" s="1156"/>
      <c r="O72" s="1156"/>
      <c r="P72" s="1156"/>
    </row>
    <row r="73" spans="2:16" ht="15" customHeight="1" thickBot="1" x14ac:dyDescent="0.3">
      <c r="B73" s="193"/>
      <c r="C73" s="193"/>
      <c r="D73" s="193"/>
      <c r="E73" s="193"/>
      <c r="F73" s="102"/>
      <c r="G73" s="102"/>
      <c r="H73" s="1176"/>
      <c r="I73" s="1177"/>
      <c r="J73" s="1178"/>
      <c r="K73" s="102"/>
      <c r="L73" s="102"/>
      <c r="M73" s="102"/>
      <c r="N73" s="35"/>
      <c r="O73" s="35"/>
      <c r="P73" s="35"/>
    </row>
    <row r="74" spans="2:16" ht="15" customHeight="1" thickBot="1" x14ac:dyDescent="0.3">
      <c r="B74" s="517" t="s">
        <v>103</v>
      </c>
      <c r="C74" s="518"/>
      <c r="D74" s="518"/>
      <c r="E74" s="519"/>
      <c r="F74" s="102"/>
      <c r="G74" s="102"/>
      <c r="H74" s="196" t="s">
        <v>107</v>
      </c>
      <c r="I74" s="197"/>
      <c r="J74" s="198">
        <v>0.04</v>
      </c>
      <c r="K74" s="102"/>
      <c r="L74" s="102"/>
      <c r="M74" s="102"/>
      <c r="N74" s="35"/>
      <c r="O74" s="35"/>
      <c r="P74" s="35"/>
    </row>
    <row r="75" spans="2:16" ht="15" customHeight="1" x14ac:dyDescent="0.25">
      <c r="B75" s="194" t="s">
        <v>316</v>
      </c>
      <c r="C75" s="195" t="s">
        <v>43</v>
      </c>
      <c r="D75" s="195" t="s">
        <v>64</v>
      </c>
      <c r="E75" s="30" t="e">
        <f>SUM(I90:K90)</f>
        <v>#N/A</v>
      </c>
      <c r="F75" s="102"/>
      <c r="G75" s="102"/>
      <c r="H75" s="102"/>
      <c r="I75" s="102"/>
      <c r="J75" s="102"/>
      <c r="K75" s="102"/>
      <c r="L75" s="102"/>
      <c r="M75" s="102"/>
      <c r="N75" s="35"/>
      <c r="O75" s="35"/>
      <c r="P75" s="35"/>
    </row>
    <row r="76" spans="2:16" ht="15" x14ac:dyDescent="0.25">
      <c r="B76" s="194" t="s">
        <v>65</v>
      </c>
      <c r="C76" s="195" t="str">
        <f>C75</f>
        <v>EE</v>
      </c>
      <c r="D76" s="195" t="s">
        <v>66</v>
      </c>
      <c r="E76" s="186" t="e">
        <f>D38</f>
        <v>#N/A</v>
      </c>
      <c r="F76" s="102"/>
      <c r="G76" s="102"/>
      <c r="H76" s="102"/>
      <c r="I76" s="102"/>
      <c r="J76" s="102"/>
      <c r="K76" s="102"/>
      <c r="L76" s="102"/>
      <c r="M76" s="102"/>
      <c r="N76" s="35"/>
      <c r="O76" s="35"/>
      <c r="P76" s="35"/>
    </row>
    <row r="77" spans="2:16" ht="15" customHeight="1" x14ac:dyDescent="0.25">
      <c r="B77" s="194" t="s">
        <v>104</v>
      </c>
      <c r="C77" s="195" t="str">
        <f>C75</f>
        <v>EE</v>
      </c>
      <c r="D77" s="195" t="s">
        <v>64</v>
      </c>
      <c r="E77" s="30" t="e">
        <f>D34-E75</f>
        <v>#N/A</v>
      </c>
      <c r="F77" s="102"/>
      <c r="G77" s="102"/>
      <c r="H77" s="102"/>
      <c r="I77" s="102"/>
      <c r="J77" s="102"/>
      <c r="K77" s="102"/>
      <c r="L77" s="102"/>
      <c r="M77" s="102"/>
      <c r="N77" s="35"/>
      <c r="O77" s="35"/>
      <c r="P77" s="35"/>
    </row>
    <row r="78" spans="2:16" ht="30" customHeight="1" x14ac:dyDescent="0.25">
      <c r="B78" s="194" t="s">
        <v>106</v>
      </c>
      <c r="C78" s="195" t="s">
        <v>43</v>
      </c>
      <c r="D78" s="195" t="s">
        <v>68</v>
      </c>
      <c r="E78" s="179" t="e">
        <f>E75*E76/1000</f>
        <v>#N/A</v>
      </c>
      <c r="F78" s="102"/>
      <c r="G78" s="102"/>
      <c r="H78" s="102"/>
      <c r="I78" s="102"/>
      <c r="J78" s="102"/>
      <c r="K78" s="102"/>
      <c r="L78" s="102"/>
      <c r="M78" s="102"/>
      <c r="N78" s="35"/>
      <c r="O78" s="35"/>
      <c r="P78" s="35"/>
    </row>
    <row r="79" spans="2:16" ht="30" customHeight="1" x14ac:dyDescent="0.25">
      <c r="B79" s="194" t="s">
        <v>101</v>
      </c>
      <c r="C79" s="195" t="str">
        <f>C78</f>
        <v>EE</v>
      </c>
      <c r="D79" s="195" t="s">
        <v>68</v>
      </c>
      <c r="E79" s="179" t="e">
        <f>D41-E78</f>
        <v>#N/A</v>
      </c>
      <c r="F79" s="102"/>
      <c r="G79" s="102"/>
      <c r="H79" s="102"/>
      <c r="I79" s="102"/>
      <c r="J79" s="102"/>
      <c r="K79" s="102"/>
      <c r="L79" s="102"/>
      <c r="M79" s="102"/>
      <c r="N79" s="1156"/>
      <c r="O79" s="1156"/>
      <c r="P79" s="1156"/>
    </row>
    <row r="80" spans="2:16" ht="30" customHeight="1" thickBot="1" x14ac:dyDescent="0.3">
      <c r="B80" s="199" t="s">
        <v>108</v>
      </c>
      <c r="C80" s="200" t="str">
        <f>C78</f>
        <v>EE</v>
      </c>
      <c r="D80" s="200" t="s">
        <v>102</v>
      </c>
      <c r="E80" s="192" t="e">
        <f>E79/D41</f>
        <v>#N/A</v>
      </c>
      <c r="F80" s="102"/>
      <c r="G80" s="102"/>
      <c r="H80" s="39" t="s">
        <v>294</v>
      </c>
      <c r="I80" s="102"/>
      <c r="J80" s="102"/>
      <c r="K80" s="102"/>
      <c r="L80" s="102"/>
      <c r="M80" s="102"/>
      <c r="N80" s="35"/>
      <c r="O80" s="35"/>
      <c r="P80" s="35"/>
    </row>
    <row r="81" spans="2:16" ht="15.75" thickBot="1" x14ac:dyDescent="0.3">
      <c r="B81" s="193"/>
      <c r="C81" s="193"/>
      <c r="D81" s="193"/>
      <c r="E81" s="193"/>
      <c r="F81" s="102"/>
      <c r="G81" s="102"/>
      <c r="H81" s="102" t="s">
        <v>333</v>
      </c>
      <c r="I81" s="102"/>
      <c r="J81" s="102"/>
      <c r="K81" s="102"/>
      <c r="L81" s="102"/>
      <c r="M81" s="102"/>
      <c r="N81" s="35"/>
      <c r="O81" s="35"/>
      <c r="P81" s="35"/>
    </row>
    <row r="82" spans="2:16" ht="15.75" thickBot="1" x14ac:dyDescent="0.3">
      <c r="B82" s="520" t="s">
        <v>71</v>
      </c>
      <c r="C82" s="521"/>
      <c r="D82" s="521"/>
      <c r="E82" s="522"/>
      <c r="F82" s="102"/>
      <c r="G82" s="102"/>
      <c r="H82" s="504" t="s">
        <v>332</v>
      </c>
      <c r="I82" s="501" t="s">
        <v>63</v>
      </c>
      <c r="J82" s="505" t="s">
        <v>113</v>
      </c>
      <c r="K82" s="505" t="s">
        <v>114</v>
      </c>
      <c r="L82" s="505" t="s">
        <v>115</v>
      </c>
      <c r="M82" s="717" t="s">
        <v>382</v>
      </c>
      <c r="N82" s="745" t="s">
        <v>296</v>
      </c>
      <c r="O82" s="35"/>
      <c r="P82" s="35"/>
    </row>
    <row r="83" spans="2:16" ht="23.25" customHeight="1" x14ac:dyDescent="0.25">
      <c r="B83" s="513" t="s">
        <v>109</v>
      </c>
      <c r="C83" s="514"/>
      <c r="D83" s="201" t="s">
        <v>68</v>
      </c>
      <c r="E83" s="744">
        <v>0</v>
      </c>
      <c r="F83" s="102"/>
      <c r="G83" s="102"/>
      <c r="H83" s="487" t="s">
        <v>94</v>
      </c>
      <c r="I83" s="507" t="s">
        <v>35</v>
      </c>
      <c r="J83" s="771" t="e">
        <v>#N/A</v>
      </c>
      <c r="K83" s="771" t="e">
        <v>#N/A</v>
      </c>
      <c r="L83" s="771" t="e">
        <v>#N/A</v>
      </c>
      <c r="M83" s="772" t="e">
        <v>#N/A</v>
      </c>
      <c r="N83" s="767" t="e">
        <f>J83+K83+L83+M83</f>
        <v>#N/A</v>
      </c>
      <c r="O83" s="35"/>
      <c r="P83" s="35"/>
    </row>
    <row r="84" spans="2:16" ht="15" customHeight="1" x14ac:dyDescent="0.25">
      <c r="B84" s="513" t="s">
        <v>110</v>
      </c>
      <c r="C84" s="514"/>
      <c r="D84" s="201" t="s">
        <v>68</v>
      </c>
      <c r="E84" s="179" t="e">
        <f>D43-E83</f>
        <v>#N/A</v>
      </c>
      <c r="F84" s="102"/>
      <c r="G84" s="102"/>
      <c r="H84" s="171" t="s">
        <v>98</v>
      </c>
      <c r="I84" s="526" t="s">
        <v>99</v>
      </c>
      <c r="J84" s="773" t="e">
        <v>#N/A</v>
      </c>
      <c r="K84" s="773" t="e">
        <v>#N/A</v>
      </c>
      <c r="L84" s="773" t="e">
        <v>#N/A</v>
      </c>
      <c r="M84" s="774" t="e">
        <v>#N/A</v>
      </c>
      <c r="N84" s="84" t="e">
        <f>J84+K84+L84+M84</f>
        <v>#N/A</v>
      </c>
      <c r="O84" s="35"/>
      <c r="P84" s="35"/>
    </row>
    <row r="85" spans="2:16" ht="27" thickBot="1" x14ac:dyDescent="0.3">
      <c r="B85" s="515" t="s">
        <v>111</v>
      </c>
      <c r="C85" s="516"/>
      <c r="D85" s="202" t="s">
        <v>102</v>
      </c>
      <c r="E85" s="192" t="e">
        <f>E84/D43</f>
        <v>#N/A</v>
      </c>
      <c r="F85" s="102"/>
      <c r="G85" s="102"/>
      <c r="H85" s="204" t="s">
        <v>100</v>
      </c>
      <c r="I85" s="533"/>
      <c r="J85" s="775"/>
      <c r="K85" s="775"/>
      <c r="L85" s="775"/>
      <c r="M85" s="716"/>
      <c r="N85" s="510"/>
      <c r="O85" s="35"/>
      <c r="P85" s="35"/>
    </row>
    <row r="86" spans="2:16" ht="15.75" thickBot="1" x14ac:dyDescent="0.3">
      <c r="B86" s="193"/>
      <c r="C86" s="193"/>
      <c r="D86" s="193"/>
      <c r="E86" s="193"/>
      <c r="F86" s="102"/>
      <c r="G86" s="102"/>
      <c r="H86" s="768" t="s">
        <v>397</v>
      </c>
      <c r="I86" s="769"/>
      <c r="J86" s="770" t="e">
        <f>SUM(J83:J85)</f>
        <v>#N/A</v>
      </c>
      <c r="K86" s="770" t="e">
        <f>SUM(K83:K85)</f>
        <v>#N/A</v>
      </c>
      <c r="L86" s="770" t="e">
        <f>SUM(L83:L85)</f>
        <v>#N/A</v>
      </c>
      <c r="M86" s="770" t="e">
        <f>SUM(M83:M85)</f>
        <v>#N/A</v>
      </c>
      <c r="N86" s="778" t="e">
        <f>SUM(N83:N85)</f>
        <v>#N/A</v>
      </c>
      <c r="O86" s="35"/>
      <c r="P86" s="35"/>
    </row>
    <row r="87" spans="2:16" ht="25.5" customHeight="1" thickBot="1" x14ac:dyDescent="0.3">
      <c r="B87" s="523" t="s">
        <v>112</v>
      </c>
      <c r="C87" s="524"/>
      <c r="D87" s="524"/>
      <c r="E87" s="525"/>
      <c r="F87" s="102"/>
      <c r="G87" s="102"/>
      <c r="H87" s="506" t="s">
        <v>390</v>
      </c>
      <c r="I87" s="766" t="s">
        <v>62</v>
      </c>
      <c r="J87" s="776" t="e">
        <v>#N/A</v>
      </c>
      <c r="K87" s="776" t="e">
        <v>#N/A</v>
      </c>
      <c r="L87" s="776" t="e">
        <v>#N/A</v>
      </c>
      <c r="M87" s="777" t="e">
        <v>#N/A</v>
      </c>
      <c r="N87" s="511" t="e">
        <f>J87+K87+L87+M87</f>
        <v>#N/A</v>
      </c>
      <c r="O87" s="35"/>
      <c r="P87" s="35"/>
    </row>
    <row r="88" spans="2:16" ht="15" customHeight="1" thickBot="1" x14ac:dyDescent="0.3">
      <c r="B88" s="64" t="s">
        <v>116</v>
      </c>
      <c r="C88" s="63"/>
      <c r="D88" s="21" t="s">
        <v>68</v>
      </c>
      <c r="E88" s="65" t="e">
        <f>E71+E79+E84</f>
        <v>#N/A</v>
      </c>
      <c r="F88" s="102"/>
      <c r="G88" s="102"/>
      <c r="N88" s="35"/>
      <c r="O88" s="35"/>
      <c r="P88" s="35"/>
    </row>
    <row r="89" spans="2:16" ht="15" customHeight="1" x14ac:dyDescent="0.25">
      <c r="B89" s="59" t="s">
        <v>117</v>
      </c>
      <c r="C89" s="60"/>
      <c r="D89" s="21" t="s">
        <v>102</v>
      </c>
      <c r="E89" s="98" t="e">
        <f>E88/D46</f>
        <v>#N/A</v>
      </c>
      <c r="F89" s="102"/>
      <c r="G89" s="102"/>
      <c r="H89" s="20" t="s">
        <v>119</v>
      </c>
      <c r="I89" s="205" t="s">
        <v>120</v>
      </c>
      <c r="J89" s="205" t="s">
        <v>300</v>
      </c>
      <c r="K89" s="206" t="s">
        <v>240</v>
      </c>
      <c r="L89" s="206" t="s">
        <v>296</v>
      </c>
      <c r="N89" s="35"/>
      <c r="O89" s="35"/>
      <c r="P89" s="35"/>
    </row>
    <row r="90" spans="2:16" ht="15" customHeight="1" thickBot="1" x14ac:dyDescent="0.3">
      <c r="B90" s="61" t="s">
        <v>118</v>
      </c>
      <c r="C90" s="62"/>
      <c r="D90" s="22" t="s">
        <v>68</v>
      </c>
      <c r="E90" s="31" t="e">
        <f>J72</f>
        <v>#N/A</v>
      </c>
      <c r="F90" s="102"/>
      <c r="G90" s="102"/>
      <c r="H90" s="207" t="s">
        <v>43</v>
      </c>
      <c r="I90" s="124" t="e">
        <v>#N/A</v>
      </c>
      <c r="J90" s="124" t="e">
        <v>#N/A</v>
      </c>
      <c r="K90" s="125" t="e">
        <v>#N/A</v>
      </c>
      <c r="L90" s="512" t="e">
        <f>I90+J90+K90</f>
        <v>#N/A</v>
      </c>
      <c r="M90" s="35"/>
      <c r="N90" s="35"/>
      <c r="O90" s="534"/>
      <c r="P90" s="35"/>
    </row>
    <row r="91" spans="2:16" ht="15" customHeight="1" x14ac:dyDescent="0.25">
      <c r="B91" s="102"/>
      <c r="C91" s="102"/>
      <c r="D91" s="102"/>
      <c r="E91" s="102"/>
      <c r="F91" s="102"/>
      <c r="G91" s="102"/>
      <c r="H91" s="35"/>
      <c r="I91" s="35"/>
      <c r="J91" s="35"/>
      <c r="K91" s="35"/>
      <c r="L91" s="35"/>
      <c r="M91" s="35"/>
      <c r="N91" s="35"/>
      <c r="O91" s="35"/>
      <c r="P91" s="35"/>
    </row>
    <row r="92" spans="2:16" ht="15" x14ac:dyDescent="0.25">
      <c r="B92" s="102"/>
      <c r="C92" s="102"/>
      <c r="D92" s="102"/>
      <c r="E92" s="102"/>
      <c r="F92" s="102"/>
      <c r="G92" s="102"/>
      <c r="H92" s="102"/>
      <c r="I92" s="102"/>
      <c r="J92" s="102"/>
      <c r="K92" s="102"/>
      <c r="L92" s="102"/>
      <c r="M92" s="102"/>
      <c r="N92" s="35"/>
      <c r="O92" s="35"/>
      <c r="P92" s="35"/>
    </row>
    <row r="93" spans="2:16" ht="25.5" customHeight="1" x14ac:dyDescent="0.25">
      <c r="B93" s="102"/>
      <c r="C93" s="102"/>
      <c r="D93" s="102"/>
      <c r="E93" s="102"/>
      <c r="F93" s="102"/>
      <c r="G93" s="102"/>
      <c r="H93" s="102"/>
      <c r="I93" s="102"/>
      <c r="J93" s="102"/>
      <c r="K93" s="102"/>
      <c r="L93" s="102"/>
      <c r="M93" s="102"/>
      <c r="N93" s="35"/>
      <c r="O93" s="35"/>
      <c r="P93" s="35"/>
    </row>
    <row r="94" spans="2:16" ht="15" x14ac:dyDescent="0.25">
      <c r="B94" s="102"/>
      <c r="C94" s="102"/>
      <c r="D94" s="102"/>
      <c r="E94" s="102"/>
      <c r="F94" s="102"/>
      <c r="G94" s="102"/>
      <c r="H94" s="102"/>
      <c r="I94" s="102"/>
      <c r="J94" s="102"/>
      <c r="K94" s="102"/>
      <c r="L94" s="102"/>
      <c r="M94" s="102"/>
      <c r="N94" s="35"/>
      <c r="O94" s="35"/>
      <c r="P94" s="35"/>
    </row>
    <row r="95" spans="2:16" ht="15" x14ac:dyDescent="0.25">
      <c r="B95" s="102"/>
      <c r="C95" s="102"/>
      <c r="D95" s="102"/>
      <c r="E95" s="102"/>
      <c r="F95" s="102"/>
      <c r="G95" s="102"/>
      <c r="H95" s="102"/>
      <c r="I95" s="102"/>
      <c r="J95" s="102"/>
      <c r="K95" s="102"/>
      <c r="L95" s="102"/>
      <c r="M95" s="102"/>
      <c r="N95" s="35"/>
      <c r="O95" s="35"/>
      <c r="P95" s="35"/>
    </row>
    <row r="96" spans="2:16" ht="15" x14ac:dyDescent="0.25">
      <c r="B96" s="102"/>
      <c r="C96" s="102"/>
      <c r="D96" s="102"/>
      <c r="E96" s="102"/>
      <c r="F96" s="102"/>
      <c r="G96" s="102"/>
      <c r="H96" s="102"/>
      <c r="I96" s="102"/>
      <c r="J96" s="102"/>
      <c r="K96" s="102"/>
      <c r="L96" s="102"/>
      <c r="M96" s="102"/>
      <c r="N96" s="35"/>
      <c r="O96" s="35"/>
      <c r="P96" s="35"/>
    </row>
    <row r="97" spans="2:16" ht="15" x14ac:dyDescent="0.25">
      <c r="B97" s="102"/>
      <c r="C97" s="102"/>
      <c r="D97" s="102"/>
      <c r="E97" s="102"/>
      <c r="F97" s="102"/>
      <c r="G97" s="102"/>
      <c r="H97" s="102"/>
      <c r="I97" s="102"/>
      <c r="J97" s="102"/>
      <c r="K97" s="102"/>
      <c r="L97" s="102"/>
      <c r="M97" s="102"/>
      <c r="N97" s="1156"/>
      <c r="O97" s="1156"/>
      <c r="P97" s="35"/>
    </row>
    <row r="98" spans="2:16" ht="15" x14ac:dyDescent="0.25">
      <c r="B98" s="102"/>
      <c r="C98" s="102"/>
      <c r="D98" s="102"/>
      <c r="E98" s="102"/>
      <c r="F98" s="102"/>
      <c r="G98" s="102"/>
      <c r="H98" s="102"/>
      <c r="I98" s="102"/>
      <c r="J98" s="102"/>
      <c r="K98" s="102"/>
      <c r="L98" s="102"/>
      <c r="M98" s="102"/>
      <c r="N98" s="1156"/>
      <c r="O98" s="1156"/>
      <c r="P98" s="1156"/>
    </row>
    <row r="99" spans="2:16" ht="15" x14ac:dyDescent="0.25">
      <c r="B99" s="102"/>
      <c r="C99" s="102"/>
      <c r="D99" s="102"/>
      <c r="E99" s="102"/>
      <c r="F99" s="102"/>
      <c r="G99" s="102"/>
      <c r="H99" s="102"/>
      <c r="I99" s="102"/>
      <c r="J99" s="102"/>
      <c r="K99" s="102"/>
      <c r="L99" s="102"/>
      <c r="M99" s="102"/>
      <c r="N99" s="35"/>
      <c r="O99" s="35"/>
      <c r="P99" s="35"/>
    </row>
    <row r="100" spans="2:16" ht="15.75" x14ac:dyDescent="0.25">
      <c r="B100" s="39" t="s">
        <v>305</v>
      </c>
      <c r="C100" s="102"/>
      <c r="D100" s="542"/>
      <c r="E100" s="102"/>
      <c r="F100" s="102"/>
      <c r="G100" s="102"/>
      <c r="H100" s="102"/>
      <c r="I100" s="102"/>
      <c r="J100" s="102"/>
      <c r="K100" s="102"/>
      <c r="L100" s="102"/>
      <c r="M100" s="102"/>
      <c r="N100" s="35"/>
      <c r="O100" s="35"/>
      <c r="P100" s="35"/>
    </row>
    <row r="101" spans="2:16" ht="15.75" x14ac:dyDescent="0.25">
      <c r="B101" s="39"/>
      <c r="C101" s="102"/>
      <c r="D101" s="102"/>
      <c r="E101" s="102"/>
      <c r="F101" s="102"/>
      <c r="G101" s="102"/>
      <c r="H101" s="102"/>
      <c r="I101" s="102"/>
      <c r="J101" s="102"/>
      <c r="K101" s="102"/>
      <c r="L101" s="102"/>
      <c r="M101" s="102"/>
      <c r="N101" s="35"/>
      <c r="O101" s="35"/>
      <c r="P101" s="35"/>
    </row>
    <row r="102" spans="2:16" ht="16.5" thickBot="1" x14ac:dyDescent="0.3">
      <c r="B102" s="603" t="s">
        <v>295</v>
      </c>
      <c r="C102" s="102"/>
      <c r="D102" s="102"/>
      <c r="E102" s="102"/>
      <c r="F102" s="102"/>
      <c r="G102" s="102"/>
      <c r="H102" s="102"/>
      <c r="I102" s="102"/>
      <c r="J102" s="102"/>
      <c r="K102" s="102"/>
      <c r="L102" s="102"/>
      <c r="M102" s="102"/>
      <c r="N102" s="35"/>
      <c r="O102" s="35"/>
      <c r="P102" s="35"/>
    </row>
    <row r="103" spans="2:16" ht="38.25" x14ac:dyDescent="0.25">
      <c r="B103" s="604" t="s">
        <v>302</v>
      </c>
      <c r="C103" s="605" t="s">
        <v>437</v>
      </c>
      <c r="D103" s="605" t="s">
        <v>122</v>
      </c>
      <c r="E103" s="606" t="s">
        <v>297</v>
      </c>
      <c r="F103" s="606" t="s">
        <v>298</v>
      </c>
      <c r="G103" s="102"/>
      <c r="H103" s="102"/>
      <c r="I103" s="102"/>
      <c r="J103" s="102"/>
      <c r="K103" s="102"/>
      <c r="L103" s="102"/>
      <c r="M103" s="102"/>
      <c r="N103" s="35"/>
      <c r="O103" s="35"/>
      <c r="P103" s="35"/>
    </row>
    <row r="104" spans="2:16" ht="15" x14ac:dyDescent="0.25">
      <c r="B104" s="607" t="s">
        <v>295</v>
      </c>
      <c r="C104" s="608" t="e">
        <v>#N/A</v>
      </c>
      <c r="D104" s="609">
        <v>5088</v>
      </c>
      <c r="E104" s="610" t="e">
        <f>C104*D104</f>
        <v>#N/A</v>
      </c>
      <c r="F104" s="610" t="e">
        <f>E104*$D$12/$D$19</f>
        <v>#N/A</v>
      </c>
      <c r="G104" s="102"/>
      <c r="H104" s="102"/>
      <c r="I104" s="102"/>
      <c r="J104" s="102"/>
      <c r="K104" s="102"/>
      <c r="L104" s="102"/>
      <c r="M104" s="102"/>
      <c r="N104" s="35"/>
      <c r="O104" s="35"/>
      <c r="P104" s="35"/>
    </row>
    <row r="105" spans="2:16" ht="15" x14ac:dyDescent="0.25">
      <c r="B105" s="607"/>
      <c r="C105" s="611"/>
      <c r="D105" s="609"/>
      <c r="E105" s="610"/>
      <c r="F105" s="610"/>
      <c r="G105" s="102"/>
      <c r="H105" s="102"/>
      <c r="I105" s="102"/>
      <c r="J105" s="102"/>
      <c r="K105" s="102"/>
      <c r="L105" s="102"/>
      <c r="M105" s="102"/>
      <c r="N105" s="35"/>
      <c r="O105" s="35"/>
      <c r="P105" s="35"/>
    </row>
    <row r="106" spans="2:16" ht="38.25" x14ac:dyDescent="0.25">
      <c r="B106" s="612" t="s">
        <v>299</v>
      </c>
      <c r="C106" s="1061" t="s">
        <v>437</v>
      </c>
      <c r="D106" s="148" t="s">
        <v>122</v>
      </c>
      <c r="E106" s="613" t="s">
        <v>297</v>
      </c>
      <c r="F106" s="613" t="s">
        <v>298</v>
      </c>
      <c r="G106" s="102"/>
      <c r="H106" s="102"/>
      <c r="I106" s="102"/>
      <c r="J106" s="102"/>
      <c r="K106" s="102"/>
      <c r="L106" s="544"/>
      <c r="M106" s="545"/>
      <c r="N106" s="35"/>
      <c r="O106" s="35"/>
      <c r="P106" s="35"/>
    </row>
    <row r="107" spans="2:16" ht="15" x14ac:dyDescent="0.25">
      <c r="B107" s="607" t="s">
        <v>295</v>
      </c>
      <c r="C107" s="608" t="e">
        <v>#N/A</v>
      </c>
      <c r="D107" s="609">
        <f>D104</f>
        <v>5088</v>
      </c>
      <c r="E107" s="610" t="e">
        <f>C107*D107</f>
        <v>#N/A</v>
      </c>
      <c r="F107" s="610" t="e">
        <f>$L$83+$L$84</f>
        <v>#N/A</v>
      </c>
      <c r="G107" s="102"/>
      <c r="H107" s="614"/>
      <c r="I107" s="535"/>
      <c r="J107" s="102"/>
      <c r="K107" s="102"/>
      <c r="L107" s="543"/>
      <c r="M107" s="102"/>
      <c r="N107" s="35"/>
      <c r="O107" s="35"/>
      <c r="P107" s="35"/>
    </row>
    <row r="108" spans="2:16" ht="15" x14ac:dyDescent="0.25">
      <c r="B108" s="607"/>
      <c r="C108" s="611"/>
      <c r="D108" s="609"/>
      <c r="E108" s="610"/>
      <c r="F108" s="610"/>
      <c r="G108" s="102"/>
      <c r="H108" s="102"/>
      <c r="I108" s="102"/>
      <c r="J108" s="102"/>
      <c r="K108" s="102"/>
      <c r="L108" s="102"/>
      <c r="M108" s="102"/>
      <c r="N108" s="35"/>
      <c r="O108" s="35"/>
      <c r="P108" s="35"/>
    </row>
    <row r="109" spans="2:16" ht="51" x14ac:dyDescent="0.25">
      <c r="B109" s="612" t="s">
        <v>96</v>
      </c>
      <c r="C109" s="1157"/>
      <c r="D109" s="1158"/>
      <c r="E109" s="613" t="s">
        <v>319</v>
      </c>
      <c r="F109" s="613" t="s">
        <v>320</v>
      </c>
      <c r="G109" s="102"/>
      <c r="H109" s="102"/>
      <c r="I109" s="102"/>
      <c r="J109" s="102"/>
      <c r="K109" s="102"/>
      <c r="L109" s="102"/>
      <c r="M109" s="102"/>
      <c r="N109" s="35"/>
      <c r="O109" s="35"/>
      <c r="P109" s="35"/>
    </row>
    <row r="110" spans="2:16" ht="15" x14ac:dyDescent="0.25">
      <c r="B110" s="607" t="s">
        <v>295</v>
      </c>
      <c r="C110" s="1159"/>
      <c r="D110" s="1160"/>
      <c r="E110" s="610" t="e">
        <f>E104-E107</f>
        <v>#N/A</v>
      </c>
      <c r="F110" s="610" t="e">
        <f>F104-F107</f>
        <v>#N/A</v>
      </c>
      <c r="G110" s="102"/>
      <c r="H110" s="102"/>
      <c r="I110" s="102"/>
      <c r="J110" s="102"/>
      <c r="K110" s="102"/>
      <c r="L110" s="102"/>
      <c r="M110" s="102"/>
      <c r="N110" s="35"/>
      <c r="O110" s="35"/>
      <c r="P110" s="35"/>
    </row>
    <row r="111" spans="2:16" ht="15.75" thickBot="1" x14ac:dyDescent="0.3">
      <c r="B111" s="615"/>
      <c r="C111" s="1161"/>
      <c r="D111" s="1162"/>
      <c r="E111" s="616"/>
      <c r="F111" s="616"/>
      <c r="G111" s="102"/>
      <c r="H111" s="102"/>
      <c r="I111" s="102"/>
      <c r="J111" s="102"/>
      <c r="K111" s="102"/>
      <c r="L111" s="102"/>
      <c r="M111" s="102"/>
      <c r="N111" s="35"/>
      <c r="O111" s="35"/>
      <c r="P111" s="35"/>
    </row>
    <row r="112" spans="2:16" ht="15" x14ac:dyDescent="0.25">
      <c r="B112" s="617"/>
      <c r="C112" s="617"/>
      <c r="D112" s="102"/>
      <c r="E112" s="102"/>
      <c r="F112" s="102"/>
      <c r="G112" s="102"/>
      <c r="H112" s="102"/>
      <c r="I112" s="102"/>
      <c r="J112" s="102"/>
      <c r="K112" s="102"/>
      <c r="L112" s="102"/>
      <c r="M112" s="102"/>
      <c r="N112" s="35"/>
      <c r="O112" s="35"/>
      <c r="P112" s="35"/>
    </row>
    <row r="113" spans="2:16" ht="15.75" x14ac:dyDescent="0.25">
      <c r="B113" s="603"/>
      <c r="C113" s="102"/>
      <c r="D113" s="102"/>
      <c r="E113" s="102"/>
      <c r="F113" s="102"/>
      <c r="G113" s="102"/>
      <c r="H113" s="102"/>
      <c r="I113" s="102"/>
      <c r="J113" s="102"/>
      <c r="K113" s="102"/>
      <c r="L113" s="102"/>
      <c r="M113" s="102"/>
      <c r="N113" s="35"/>
      <c r="O113" s="35"/>
      <c r="P113" s="35"/>
    </row>
    <row r="114" spans="2:16" ht="15.75" x14ac:dyDescent="0.25">
      <c r="B114" s="603"/>
      <c r="C114" s="102"/>
      <c r="D114" s="102"/>
      <c r="E114" s="102"/>
      <c r="F114" s="102"/>
      <c r="G114" s="102"/>
      <c r="H114" s="102"/>
      <c r="I114" s="102"/>
      <c r="J114" s="102"/>
      <c r="K114" s="102"/>
      <c r="L114" s="102"/>
      <c r="M114" s="102"/>
      <c r="N114" s="35"/>
      <c r="O114" s="35"/>
      <c r="P114" s="35"/>
    </row>
    <row r="115" spans="2:16" ht="21.75" customHeight="1" thickBot="1" x14ac:dyDescent="0.25">
      <c r="B115" s="603" t="s">
        <v>120</v>
      </c>
      <c r="C115" s="102"/>
      <c r="D115" s="102"/>
      <c r="E115" s="102"/>
      <c r="F115" s="102"/>
      <c r="G115" s="102"/>
      <c r="H115" s="102"/>
      <c r="I115" s="102"/>
      <c r="J115" s="102"/>
      <c r="K115" s="102"/>
      <c r="L115" s="102"/>
      <c r="M115" s="102"/>
      <c r="N115" s="102"/>
      <c r="O115" s="102"/>
      <c r="P115" s="102"/>
    </row>
    <row r="116" spans="2:16" ht="38.25" x14ac:dyDescent="0.2">
      <c r="B116" s="604" t="s">
        <v>302</v>
      </c>
      <c r="C116" s="605" t="s">
        <v>121</v>
      </c>
      <c r="D116" s="605" t="s">
        <v>122</v>
      </c>
      <c r="E116" s="606" t="s">
        <v>301</v>
      </c>
      <c r="F116" s="102"/>
      <c r="G116" s="102"/>
      <c r="H116" s="102"/>
      <c r="I116" s="102"/>
      <c r="J116" s="102"/>
      <c r="K116" s="102"/>
      <c r="L116" s="102"/>
      <c r="M116" s="102"/>
      <c r="N116" s="102"/>
      <c r="O116" s="102"/>
      <c r="P116" s="102"/>
    </row>
    <row r="117" spans="2:16" x14ac:dyDescent="0.2">
      <c r="B117" s="607" t="s">
        <v>123</v>
      </c>
      <c r="C117" s="608" t="e">
        <v>#N/A</v>
      </c>
      <c r="D117" s="609">
        <v>5000</v>
      </c>
      <c r="E117" s="610" t="e">
        <f>C117*D117</f>
        <v>#N/A</v>
      </c>
      <c r="F117" s="102"/>
      <c r="G117" s="102"/>
      <c r="H117" s="102"/>
      <c r="I117" s="102"/>
      <c r="J117" s="102"/>
      <c r="K117" s="102"/>
      <c r="L117" s="102"/>
      <c r="M117" s="102"/>
      <c r="N117" s="102"/>
      <c r="O117" s="102"/>
      <c r="P117" s="102"/>
    </row>
    <row r="118" spans="2:16" x14ac:dyDescent="0.2">
      <c r="B118" s="607"/>
      <c r="C118" s="611"/>
      <c r="D118" s="609"/>
      <c r="E118" s="610"/>
      <c r="F118" s="102"/>
      <c r="G118" s="102"/>
      <c r="H118" s="102"/>
      <c r="I118" s="102"/>
      <c r="J118" s="102"/>
      <c r="K118" s="102"/>
      <c r="L118" s="102"/>
      <c r="M118" s="102"/>
      <c r="N118" s="102"/>
      <c r="O118" s="102"/>
      <c r="P118" s="102"/>
    </row>
    <row r="119" spans="2:16" ht="38.25" x14ac:dyDescent="0.2">
      <c r="B119" s="612" t="s">
        <v>124</v>
      </c>
      <c r="C119" s="148" t="s">
        <v>121</v>
      </c>
      <c r="D119" s="148" t="s">
        <v>122</v>
      </c>
      <c r="E119" s="613" t="s">
        <v>301</v>
      </c>
      <c r="F119" s="102"/>
      <c r="G119" s="102"/>
      <c r="H119" s="102"/>
      <c r="I119" s="102"/>
      <c r="J119" s="102"/>
      <c r="K119" s="102"/>
      <c r="L119" s="102"/>
      <c r="M119" s="102"/>
      <c r="N119" s="102"/>
      <c r="O119" s="102"/>
      <c r="P119" s="102"/>
    </row>
    <row r="120" spans="2:16" x14ac:dyDescent="0.2">
      <c r="B120" s="607" t="s">
        <v>123</v>
      </c>
      <c r="C120" s="608" t="e">
        <v>#N/A</v>
      </c>
      <c r="D120" s="609">
        <f>D117</f>
        <v>5000</v>
      </c>
      <c r="E120" s="610" t="e">
        <f>C120*D120</f>
        <v>#N/A</v>
      </c>
      <c r="F120" s="102"/>
      <c r="G120" s="102"/>
      <c r="H120" s="552"/>
      <c r="I120" s="102"/>
      <c r="J120" s="102"/>
      <c r="K120" s="102"/>
      <c r="L120" s="102"/>
      <c r="M120" s="102"/>
      <c r="N120" s="102"/>
      <c r="O120" s="102"/>
      <c r="P120" s="102"/>
    </row>
    <row r="121" spans="2:16" x14ac:dyDescent="0.2">
      <c r="B121" s="607"/>
      <c r="C121" s="611"/>
      <c r="D121" s="609"/>
      <c r="E121" s="610"/>
      <c r="F121" s="102"/>
      <c r="G121" s="102"/>
      <c r="H121" s="102"/>
      <c r="I121" s="102"/>
      <c r="J121" s="102"/>
      <c r="K121" s="102"/>
      <c r="L121" s="102"/>
      <c r="M121" s="102"/>
      <c r="N121" s="102"/>
      <c r="O121" s="102"/>
      <c r="P121" s="102"/>
    </row>
    <row r="122" spans="2:16" ht="25.5" x14ac:dyDescent="0.2">
      <c r="B122" s="612" t="s">
        <v>96</v>
      </c>
      <c r="C122" s="1157"/>
      <c r="D122" s="1158"/>
      <c r="E122" s="168" t="s">
        <v>125</v>
      </c>
      <c r="F122" s="102"/>
      <c r="G122" s="102"/>
      <c r="H122" s="102"/>
      <c r="I122" s="102"/>
      <c r="J122" s="102"/>
      <c r="K122" s="102"/>
      <c r="L122" s="102"/>
      <c r="M122" s="102"/>
      <c r="N122" s="102"/>
      <c r="O122" s="102"/>
      <c r="P122" s="102"/>
    </row>
    <row r="123" spans="2:16" x14ac:dyDescent="0.2">
      <c r="B123" s="607" t="s">
        <v>123</v>
      </c>
      <c r="C123" s="1159"/>
      <c r="D123" s="1160"/>
      <c r="E123" s="610" t="e">
        <f>E117-E120</f>
        <v>#N/A</v>
      </c>
      <c r="F123" s="102"/>
      <c r="G123" s="102"/>
      <c r="H123" s="102"/>
      <c r="I123" s="102"/>
      <c r="J123" s="102"/>
      <c r="K123" s="102"/>
      <c r="L123" s="102"/>
      <c r="M123" s="102"/>
      <c r="N123" s="102"/>
      <c r="O123" s="102"/>
      <c r="P123" s="102"/>
    </row>
    <row r="124" spans="2:16" ht="13.5" thickBot="1" x14ac:dyDescent="0.25">
      <c r="B124" s="615"/>
      <c r="C124" s="1161"/>
      <c r="D124" s="1162"/>
      <c r="E124" s="616"/>
      <c r="F124" s="102"/>
      <c r="G124" s="102"/>
      <c r="H124" s="102"/>
      <c r="I124" s="102"/>
      <c r="J124" s="102"/>
      <c r="K124" s="102"/>
      <c r="L124" s="102"/>
      <c r="M124" s="102"/>
      <c r="N124" s="102"/>
      <c r="O124" s="102"/>
      <c r="P124" s="102"/>
    </row>
    <row r="125" spans="2:16" x14ac:dyDescent="0.2">
      <c r="B125" s="617"/>
      <c r="C125" s="617"/>
      <c r="D125" s="617"/>
      <c r="E125" s="102"/>
      <c r="F125" s="102"/>
      <c r="G125" s="102"/>
      <c r="H125" s="102"/>
      <c r="I125" s="102"/>
      <c r="J125" s="102"/>
      <c r="K125" s="102"/>
      <c r="L125" s="102"/>
      <c r="M125" s="102"/>
      <c r="N125" s="102"/>
      <c r="O125" s="102"/>
      <c r="P125" s="102"/>
    </row>
    <row r="126" spans="2:16" x14ac:dyDescent="0.2">
      <c r="B126" s="102"/>
      <c r="C126" s="102"/>
      <c r="D126" s="102"/>
      <c r="E126" s="102"/>
      <c r="F126" s="102"/>
      <c r="G126" s="102"/>
      <c r="H126" s="102"/>
    </row>
    <row r="127" spans="2:16" x14ac:dyDescent="0.2">
      <c r="B127" s="102"/>
      <c r="C127" s="102"/>
      <c r="D127" s="102"/>
      <c r="E127" s="102"/>
      <c r="F127" s="102"/>
      <c r="G127" s="102"/>
      <c r="H127" s="102"/>
    </row>
    <row r="128" spans="2:16" ht="16.5" thickBot="1" x14ac:dyDescent="0.25">
      <c r="B128" s="603" t="s">
        <v>300</v>
      </c>
      <c r="C128" s="102"/>
      <c r="D128" s="102"/>
      <c r="E128" s="102"/>
      <c r="F128" s="102"/>
      <c r="G128" s="102"/>
      <c r="H128" s="102"/>
    </row>
    <row r="129" spans="2:8" ht="38.25" x14ac:dyDescent="0.2">
      <c r="B129" s="618" t="s">
        <v>302</v>
      </c>
      <c r="C129" s="619"/>
      <c r="D129" s="620"/>
      <c r="E129" s="606" t="s">
        <v>301</v>
      </c>
      <c r="F129" s="102"/>
      <c r="G129" s="102"/>
      <c r="H129" s="102"/>
    </row>
    <row r="130" spans="2:8" x14ac:dyDescent="0.2">
      <c r="B130" s="621" t="s">
        <v>300</v>
      </c>
      <c r="C130" s="622"/>
      <c r="D130" s="623"/>
      <c r="E130" s="624" t="e">
        <v>#N/A</v>
      </c>
      <c r="F130" s="102"/>
      <c r="G130" s="102"/>
      <c r="H130" s="102"/>
    </row>
    <row r="131" spans="2:8" x14ac:dyDescent="0.2">
      <c r="B131" s="621"/>
      <c r="C131" s="622"/>
      <c r="D131" s="623"/>
      <c r="E131" s="610"/>
      <c r="F131" s="102"/>
      <c r="G131" s="102"/>
      <c r="H131" s="102"/>
    </row>
    <row r="132" spans="2:8" ht="38.25" x14ac:dyDescent="0.2">
      <c r="B132" s="1027" t="s">
        <v>299</v>
      </c>
      <c r="C132" s="1028"/>
      <c r="D132" s="1029"/>
      <c r="E132" s="613" t="s">
        <v>301</v>
      </c>
      <c r="F132" s="102"/>
      <c r="G132" s="102"/>
      <c r="H132" s="102"/>
    </row>
    <row r="133" spans="2:8" x14ac:dyDescent="0.2">
      <c r="B133" s="621" t="s">
        <v>300</v>
      </c>
      <c r="C133" s="622"/>
      <c r="D133" s="623"/>
      <c r="E133" s="624" t="e">
        <v>#N/A</v>
      </c>
      <c r="F133" s="102"/>
      <c r="G133" s="102"/>
      <c r="H133" s="102"/>
    </row>
    <row r="134" spans="2:8" x14ac:dyDescent="0.2">
      <c r="B134" s="621"/>
      <c r="C134" s="622"/>
      <c r="D134" s="623"/>
      <c r="E134" s="610"/>
      <c r="F134" s="102"/>
      <c r="G134" s="102"/>
      <c r="H134" s="102"/>
    </row>
    <row r="135" spans="2:8" ht="25.5" x14ac:dyDescent="0.2">
      <c r="B135" s="1027" t="s">
        <v>96</v>
      </c>
      <c r="C135" s="1028"/>
      <c r="D135" s="1029"/>
      <c r="E135" s="168" t="s">
        <v>125</v>
      </c>
      <c r="F135" s="102"/>
      <c r="G135" s="102"/>
      <c r="H135" s="102"/>
    </row>
    <row r="136" spans="2:8" x14ac:dyDescent="0.2">
      <c r="B136" s="621" t="s">
        <v>300</v>
      </c>
      <c r="C136" s="622"/>
      <c r="D136" s="623"/>
      <c r="E136" s="610" t="e">
        <f>E130-E133</f>
        <v>#N/A</v>
      </c>
      <c r="F136" s="102"/>
      <c r="G136" s="102"/>
      <c r="H136" s="102"/>
    </row>
    <row r="137" spans="2:8" ht="13.5" thickBot="1" x14ac:dyDescent="0.25">
      <c r="B137" s="741"/>
      <c r="C137" s="743"/>
      <c r="D137" s="742"/>
      <c r="E137" s="616"/>
      <c r="F137" s="102"/>
      <c r="G137" s="102"/>
      <c r="H137" s="102"/>
    </row>
    <row r="138" spans="2:8" x14ac:dyDescent="0.2">
      <c r="B138" s="40"/>
      <c r="C138" s="40"/>
      <c r="D138" s="40"/>
    </row>
    <row r="141" spans="2:8" s="736" customFormat="1" ht="16.5" thickBot="1" x14ac:dyDescent="0.25">
      <c r="B141" s="734" t="s">
        <v>383</v>
      </c>
      <c r="C141" s="735"/>
      <c r="D141" s="735"/>
      <c r="E141" s="735"/>
    </row>
    <row r="142" spans="2:8" s="736" customFormat="1" ht="38.25" x14ac:dyDescent="0.2">
      <c r="B142" s="618" t="s">
        <v>302</v>
      </c>
      <c r="C142" s="619"/>
      <c r="D142" s="620"/>
      <c r="E142" s="737" t="s">
        <v>297</v>
      </c>
      <c r="F142" s="606" t="s">
        <v>298</v>
      </c>
    </row>
    <row r="143" spans="2:8" s="736" customFormat="1" x14ac:dyDescent="0.2">
      <c r="B143" s="621" t="s">
        <v>383</v>
      </c>
      <c r="C143" s="622"/>
      <c r="D143" s="623"/>
      <c r="E143" s="624">
        <f>'Referenčne količine'!D31</f>
        <v>0</v>
      </c>
      <c r="F143" s="610" t="e">
        <f>E143*$D$12/$D$19</f>
        <v>#N/A</v>
      </c>
    </row>
    <row r="144" spans="2:8" s="736" customFormat="1" x14ac:dyDescent="0.2">
      <c r="B144" s="621"/>
      <c r="C144" s="622"/>
      <c r="D144" s="623"/>
      <c r="E144" s="738"/>
      <c r="F144" s="610"/>
    </row>
    <row r="145" spans="2:6" s="736" customFormat="1" ht="38.25" x14ac:dyDescent="0.2">
      <c r="B145" s="1027" t="s">
        <v>299</v>
      </c>
      <c r="C145" s="1028"/>
      <c r="D145" s="1029"/>
      <c r="E145" s="739" t="s">
        <v>297</v>
      </c>
      <c r="F145" s="613" t="s">
        <v>298</v>
      </c>
    </row>
    <row r="146" spans="2:6" s="736" customFormat="1" x14ac:dyDescent="0.2">
      <c r="B146" s="621" t="s">
        <v>383</v>
      </c>
      <c r="C146" s="622"/>
      <c r="D146" s="623"/>
      <c r="E146" s="624" t="e">
        <f>M87</f>
        <v>#N/A</v>
      </c>
      <c r="F146" s="610" t="e">
        <f>$M$83+$M$84</f>
        <v>#N/A</v>
      </c>
    </row>
    <row r="147" spans="2:6" s="736" customFormat="1" x14ac:dyDescent="0.2">
      <c r="B147" s="621"/>
      <c r="C147" s="622"/>
      <c r="D147" s="623"/>
      <c r="E147" s="738"/>
      <c r="F147" s="610"/>
    </row>
    <row r="148" spans="2:6" s="736" customFormat="1" ht="51" x14ac:dyDescent="0.2">
      <c r="B148" s="1027" t="s">
        <v>96</v>
      </c>
      <c r="C148" s="1028"/>
      <c r="D148" s="1029"/>
      <c r="E148" s="739" t="s">
        <v>319</v>
      </c>
      <c r="F148" s="613" t="s">
        <v>320</v>
      </c>
    </row>
    <row r="149" spans="2:6" s="736" customFormat="1" x14ac:dyDescent="0.2">
      <c r="B149" s="621" t="s">
        <v>383</v>
      </c>
      <c r="C149" s="622"/>
      <c r="D149" s="623"/>
      <c r="E149" s="738" t="e">
        <f>E143-E146</f>
        <v>#N/A</v>
      </c>
      <c r="F149" s="610" t="e">
        <f>F143-F146</f>
        <v>#N/A</v>
      </c>
    </row>
    <row r="150" spans="2:6" s="736" customFormat="1" ht="13.5" thickBot="1" x14ac:dyDescent="0.25">
      <c r="B150" s="741"/>
      <c r="C150" s="743"/>
      <c r="D150" s="742"/>
      <c r="E150" s="740"/>
      <c r="F150" s="616"/>
    </row>
  </sheetData>
  <mergeCells count="16">
    <mergeCell ref="B6:C6"/>
    <mergeCell ref="B7:C7"/>
    <mergeCell ref="B8:C8"/>
    <mergeCell ref="H12:J12"/>
    <mergeCell ref="B55:E55"/>
    <mergeCell ref="H55:J55"/>
    <mergeCell ref="N97:O97"/>
    <mergeCell ref="N98:P98"/>
    <mergeCell ref="C109:D111"/>
    <mergeCell ref="C122:D124"/>
    <mergeCell ref="N55:P55"/>
    <mergeCell ref="N71:O71"/>
    <mergeCell ref="H72:I72"/>
    <mergeCell ref="N72:P72"/>
    <mergeCell ref="H73:J73"/>
    <mergeCell ref="N79:P79"/>
  </mergeCells>
  <pageMargins left="0.70866141732283472" right="0.70866141732283472" top="0.74803149606299213" bottom="0.74803149606299213" header="0.31496062992125984" footer="0.31496062992125984"/>
  <pageSetup paperSize="9" scale="29" orientation="portrait" r:id="rId1"/>
  <headerFooter>
    <oddHeader>&amp;LProgram izvajanja koncesije "Celovita energetska prenova 7 objektov UKC LJ"&amp;R&amp;A</oddHeader>
    <oddFooter>&amp;RStran &amp;P /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246D414-5D94-45EF-929D-5188E9B6AEC0}">
          <x14:formula1>
            <xm:f>'Osnovni podatki'!$B$6:$B$9</xm:f>
          </x14:formula1>
          <xm:sqref>D6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44303-374F-4EEE-B1A9-056F5AA3904B}">
  <sheetPr>
    <pageSetUpPr fitToPage="1"/>
  </sheetPr>
  <dimension ref="B2:P150"/>
  <sheetViews>
    <sheetView showWhiteSpace="0" topLeftCell="A127" zoomScale="85" zoomScaleNormal="85" zoomScaleSheetLayoutView="85" workbookViewId="0">
      <selection activeCell="H133" sqref="H133"/>
    </sheetView>
  </sheetViews>
  <sheetFormatPr defaultColWidth="9.140625" defaultRowHeight="12.75" x14ac:dyDescent="0.2"/>
  <cols>
    <col min="1" max="1" width="4.85546875" style="32" customWidth="1"/>
    <col min="2" max="2" width="61.42578125" style="32" bestFit="1" customWidth="1"/>
    <col min="3" max="3" width="11.140625" style="32" bestFit="1" customWidth="1"/>
    <col min="4" max="4" width="15" style="32" customWidth="1"/>
    <col min="5" max="5" width="17.28515625" style="32" customWidth="1"/>
    <col min="6" max="6" width="16.42578125" style="32" customWidth="1"/>
    <col min="7" max="7" width="3.7109375" style="32" customWidth="1"/>
    <col min="8" max="8" width="42.7109375" style="32" customWidth="1"/>
    <col min="9" max="13" width="17.7109375" style="32" customWidth="1"/>
    <col min="14" max="14" width="14.5703125" style="32" customWidth="1"/>
    <col min="15" max="15" width="9.140625" style="32"/>
    <col min="16" max="16" width="9.140625" style="32" customWidth="1"/>
    <col min="17" max="16384" width="9.140625" style="32"/>
  </cols>
  <sheetData>
    <row r="2" spans="2:15" ht="20.25" x14ac:dyDescent="0.2">
      <c r="B2" s="37" t="s">
        <v>81</v>
      </c>
      <c r="C2" s="102"/>
      <c r="D2" s="102"/>
      <c r="E2" s="102"/>
      <c r="F2" s="102"/>
      <c r="G2" s="102"/>
      <c r="H2" s="102"/>
      <c r="I2" s="102"/>
      <c r="J2" s="102"/>
      <c r="K2" s="102"/>
      <c r="L2" s="102"/>
      <c r="M2" s="102"/>
      <c r="N2" s="102"/>
      <c r="O2" s="102"/>
    </row>
    <row r="4" spans="2:15" ht="16.5" thickBot="1" x14ac:dyDescent="0.25">
      <c r="B4" s="39" t="s">
        <v>303</v>
      </c>
      <c r="C4" s="102"/>
      <c r="D4" s="102"/>
      <c r="E4" s="102"/>
      <c r="F4" s="102"/>
      <c r="G4" s="102"/>
      <c r="H4" s="102"/>
      <c r="I4" s="102"/>
      <c r="J4" s="102"/>
      <c r="K4" s="102"/>
      <c r="L4" s="102"/>
      <c r="M4" s="102"/>
      <c r="N4" s="102"/>
      <c r="O4" s="102"/>
    </row>
    <row r="5" spans="2:15" ht="15" customHeight="1" x14ac:dyDescent="0.2">
      <c r="B5" s="7" t="s">
        <v>82</v>
      </c>
      <c r="C5" s="165"/>
      <c r="D5" s="166"/>
      <c r="E5" s="102"/>
      <c r="F5" s="102"/>
      <c r="G5" s="102"/>
      <c r="H5" s="102"/>
      <c r="I5" s="102"/>
      <c r="J5" s="102"/>
      <c r="K5" s="102"/>
      <c r="L5" s="102"/>
      <c r="M5" s="102"/>
      <c r="N5" s="102"/>
      <c r="O5" s="102"/>
    </row>
    <row r="6" spans="2:15" ht="15" customHeight="1" x14ac:dyDescent="0.2">
      <c r="B6" s="1163" t="s">
        <v>51</v>
      </c>
      <c r="C6" s="1164"/>
      <c r="D6" s="167">
        <v>7</v>
      </c>
      <c r="E6" s="102"/>
      <c r="F6" s="102"/>
      <c r="G6" s="102"/>
      <c r="H6" s="102"/>
      <c r="I6" s="102"/>
      <c r="J6" s="102"/>
      <c r="K6" s="102"/>
      <c r="L6" s="102"/>
      <c r="M6" s="102"/>
      <c r="N6" s="102"/>
      <c r="O6" s="102"/>
    </row>
    <row r="7" spans="2:15" ht="15" customHeight="1" x14ac:dyDescent="0.2">
      <c r="B7" s="1163" t="s">
        <v>52</v>
      </c>
      <c r="C7" s="1164"/>
      <c r="D7" s="167" t="e">
        <f>INDEX('Referenčne količine'!$B$4:$G$15,MATCH(B7,('Referenčne količine'!$B$4:$B$15),0),MATCH($D$6,'Referenčne količine'!$B$5:$G$5,0))</f>
        <v>#N/A</v>
      </c>
      <c r="E7" s="102"/>
      <c r="F7" s="102"/>
      <c r="G7" s="102"/>
      <c r="H7" s="102"/>
      <c r="I7" s="102"/>
      <c r="J7" s="102"/>
      <c r="K7" s="102"/>
      <c r="L7" s="102"/>
      <c r="M7" s="102"/>
      <c r="N7" s="102"/>
      <c r="O7" s="102"/>
    </row>
    <row r="8" spans="2:15" ht="39.950000000000003" customHeight="1" x14ac:dyDescent="0.2">
      <c r="B8" s="1163" t="s">
        <v>53</v>
      </c>
      <c r="C8" s="1164"/>
      <c r="D8" s="168" t="e">
        <f>INDEX('Referenčne količine'!$B$4:$G$15,MATCH(B8,('Referenčne količine'!$B$4:$B$15),0),MATCH($D$6,'Referenčne količine'!$B$5:$G$5,0))</f>
        <v>#N/A</v>
      </c>
      <c r="E8" s="102"/>
      <c r="F8" s="102"/>
      <c r="G8" s="102"/>
      <c r="H8" s="102"/>
      <c r="I8" s="102"/>
      <c r="J8" s="102"/>
      <c r="K8" s="102"/>
      <c r="L8" s="102"/>
      <c r="M8" s="102"/>
      <c r="N8" s="102"/>
      <c r="O8" s="102"/>
    </row>
    <row r="9" spans="2:15" ht="15" customHeight="1" x14ac:dyDescent="0.2">
      <c r="B9" s="6" t="s">
        <v>54</v>
      </c>
      <c r="C9" s="5" t="s">
        <v>55</v>
      </c>
      <c r="D9" s="29" t="e">
        <f>INDEX('Referenčne količine'!$B$4:$G$15,MATCH(B9,('Referenčne količine'!$B$4:$B$15),0),MATCH($D$6,'Referenčne količine'!$B$5:$G$5,0))</f>
        <v>#N/A</v>
      </c>
      <c r="E9" s="102"/>
      <c r="F9" s="102"/>
      <c r="G9" s="102"/>
      <c r="H9" s="102"/>
      <c r="I9" s="102"/>
      <c r="J9" s="102"/>
      <c r="K9" s="102"/>
      <c r="L9" s="102"/>
      <c r="M9" s="102"/>
      <c r="N9" s="102"/>
      <c r="O9" s="102"/>
    </row>
    <row r="10" spans="2:15" ht="15" customHeight="1" thickBot="1" x14ac:dyDescent="0.25">
      <c r="B10" s="3" t="s">
        <v>83</v>
      </c>
      <c r="C10" s="8"/>
      <c r="D10" s="9"/>
      <c r="E10" s="102"/>
      <c r="F10" s="102"/>
      <c r="G10" s="102"/>
      <c r="H10" s="39" t="s">
        <v>84</v>
      </c>
      <c r="I10" s="102"/>
      <c r="J10" s="102"/>
      <c r="K10" s="102"/>
      <c r="L10" s="102"/>
      <c r="M10" s="102"/>
      <c r="N10" s="102"/>
      <c r="O10" s="102"/>
    </row>
    <row r="11" spans="2:15" ht="15" customHeight="1" x14ac:dyDescent="0.2">
      <c r="B11" s="169" t="s">
        <v>63</v>
      </c>
      <c r="C11" s="170"/>
      <c r="D11" s="167" t="e">
        <f>INDEX('Referenčne količine'!$B$16:$G$36,MATCH(B11,('Referenčne količine'!$B$16:$B$36),0),MATCH($D$6,'Referenčne količine'!$B$5:$G$5,0))</f>
        <v>#N/A</v>
      </c>
      <c r="E11" s="102"/>
      <c r="F11" s="102"/>
      <c r="G11" s="102"/>
      <c r="H11" s="107" t="s">
        <v>84</v>
      </c>
      <c r="I11" s="108"/>
      <c r="J11" s="109"/>
      <c r="K11" s="50" t="e">
        <f>D7</f>
        <v>#N/A</v>
      </c>
      <c r="L11" s="102"/>
      <c r="M11" s="102"/>
      <c r="N11" s="102"/>
      <c r="O11" s="102"/>
    </row>
    <row r="12" spans="2:15" ht="15" customHeight="1" x14ac:dyDescent="0.2">
      <c r="B12" s="171" t="s">
        <v>272</v>
      </c>
      <c r="C12" s="150" t="s">
        <v>64</v>
      </c>
      <c r="D12" s="29" t="e">
        <f>INDEX('Referenčne količine'!$B$16:$G$36,MATCH(B12,('Referenčne količine'!$B$16:$B$36),0),MATCH($D$6,'Referenčne količine'!$B$5:$G$5,0))</f>
        <v>#N/A</v>
      </c>
      <c r="E12" s="102"/>
      <c r="F12" s="102"/>
      <c r="G12" s="102"/>
      <c r="H12" s="1165" t="s">
        <v>85</v>
      </c>
      <c r="I12" s="1166"/>
      <c r="J12" s="1167"/>
      <c r="K12" s="51" t="s">
        <v>12</v>
      </c>
      <c r="L12" s="102"/>
      <c r="M12" s="102"/>
      <c r="N12" s="102"/>
      <c r="O12" s="242"/>
    </row>
    <row r="13" spans="2:15" ht="15" customHeight="1" x14ac:dyDescent="0.2">
      <c r="B13" s="171" t="s">
        <v>273</v>
      </c>
      <c r="C13" s="150" t="s">
        <v>64</v>
      </c>
      <c r="D13" s="29" t="e">
        <f>INDEX('Referenčne količine'!$B$16:$G$36,MATCH(B13,('Referenčne količine'!$B$16:$B$36),0),MATCH($D$6,'Referenčne količine'!$B$5:$G$5,0))</f>
        <v>#N/A</v>
      </c>
      <c r="E13" s="102"/>
      <c r="F13" s="102"/>
      <c r="G13" s="102"/>
      <c r="H13" s="208" t="e">
        <v>#N/A</v>
      </c>
      <c r="I13" s="209"/>
      <c r="J13" s="210"/>
      <c r="K13" s="172" t="e">
        <v>#N/A</v>
      </c>
      <c r="L13" s="102"/>
      <c r="M13" s="102"/>
      <c r="N13" s="102"/>
      <c r="O13" s="102"/>
    </row>
    <row r="14" spans="2:15" ht="15" customHeight="1" x14ac:dyDescent="0.2">
      <c r="B14" s="171" t="s">
        <v>274</v>
      </c>
      <c r="C14" s="150" t="s">
        <v>64</v>
      </c>
      <c r="D14" s="29" t="e">
        <f>INDEX('Referenčne količine'!$B$16:$G$36,MATCH(B14,('Referenčne količine'!$B$16:$B$36),0),MATCH($D$6,'Referenčne količine'!$B$5:$G$5,0))</f>
        <v>#N/A</v>
      </c>
      <c r="E14" s="102"/>
      <c r="F14" s="102"/>
      <c r="G14" s="102"/>
      <c r="H14" s="208"/>
      <c r="I14" s="209"/>
      <c r="J14" s="210"/>
      <c r="K14" s="172"/>
      <c r="L14" s="102"/>
      <c r="M14" s="102"/>
      <c r="N14" s="102"/>
      <c r="O14" s="102"/>
    </row>
    <row r="15" spans="2:15" ht="15" customHeight="1" x14ac:dyDescent="0.2">
      <c r="B15" s="171" t="s">
        <v>275</v>
      </c>
      <c r="C15" s="150" t="s">
        <v>64</v>
      </c>
      <c r="D15" s="29" t="e">
        <f>INDEX('Referenčne količine'!$B$16:$G$36,MATCH(B15,('Referenčne količine'!$B$16:$B$36),0),MATCH($D$6,'Referenčne količine'!$B$5:$G$5,0))</f>
        <v>#N/A</v>
      </c>
      <c r="E15" s="102"/>
      <c r="F15" s="102"/>
      <c r="G15" s="102"/>
      <c r="H15" s="208"/>
      <c r="I15" s="209"/>
      <c r="J15" s="210"/>
      <c r="K15" s="172"/>
      <c r="L15" s="102"/>
      <c r="M15" s="102"/>
      <c r="N15" s="102"/>
      <c r="O15" s="102"/>
    </row>
    <row r="16" spans="2:15" ht="15" customHeight="1" x14ac:dyDescent="0.2">
      <c r="B16" s="171" t="s">
        <v>285</v>
      </c>
      <c r="C16" s="150" t="s">
        <v>64</v>
      </c>
      <c r="D16" s="29" t="e">
        <f>INDEX('Referenčne količine'!$B$16:$G$36,MATCH(B16,('Referenčne količine'!$B$16:$B$36),0),MATCH($D$6,'Referenčne količine'!$B$5:$G$5,0))</f>
        <v>#N/A</v>
      </c>
      <c r="E16" s="102"/>
      <c r="F16" s="102"/>
      <c r="G16" s="102"/>
      <c r="H16" s="173"/>
      <c r="I16" s="174"/>
      <c r="J16" s="175"/>
      <c r="K16" s="172"/>
      <c r="L16" s="102"/>
      <c r="M16" s="102"/>
      <c r="N16" s="102"/>
      <c r="O16" s="102"/>
    </row>
    <row r="17" spans="2:15" ht="15" customHeight="1" x14ac:dyDescent="0.2">
      <c r="B17" s="171" t="s">
        <v>276</v>
      </c>
      <c r="C17" s="150" t="s">
        <v>64</v>
      </c>
      <c r="D17" s="29" t="e">
        <f>INDEX('Referenčne količine'!$B$16:$G$36,MATCH(B17,('Referenčne količine'!$B$16:$B$36),0),MATCH($D$6,'Referenčne količine'!$B$5:$G$5,0))</f>
        <v>#N/A</v>
      </c>
      <c r="E17" s="102"/>
      <c r="F17" s="102"/>
      <c r="G17" s="102"/>
      <c r="H17" s="173"/>
      <c r="I17" s="174"/>
      <c r="J17" s="175"/>
      <c r="K17" s="172"/>
      <c r="L17" s="102"/>
      <c r="M17" s="102"/>
      <c r="N17" s="102"/>
      <c r="O17" s="102"/>
    </row>
    <row r="18" spans="2:15" ht="15" customHeight="1" thickBot="1" x14ac:dyDescent="0.25">
      <c r="B18" s="536" t="s">
        <v>378</v>
      </c>
      <c r="C18" s="482" t="s">
        <v>64</v>
      </c>
      <c r="D18" s="537" t="e">
        <f>INDEX('Referenčne količine'!$B$16:$G$36,MATCH(B18,('Referenčne količine'!$B$16:$B$36),0),MATCH($D$6,'Referenčne količine'!$B$5:$G$5,0))</f>
        <v>#N/A</v>
      </c>
      <c r="E18" s="102"/>
      <c r="F18" s="102"/>
      <c r="G18" s="102"/>
      <c r="H18" s="173"/>
      <c r="I18" s="174"/>
      <c r="J18" s="175"/>
      <c r="K18" s="172"/>
      <c r="L18" s="102"/>
      <c r="M18" s="102"/>
      <c r="N18" s="102"/>
      <c r="O18" s="102"/>
    </row>
    <row r="19" spans="2:15" ht="15" customHeight="1" x14ac:dyDescent="0.25">
      <c r="B19" s="487" t="s">
        <v>286</v>
      </c>
      <c r="C19" s="203" t="s">
        <v>64</v>
      </c>
      <c r="D19" s="540" t="e">
        <f>INDEX('Referenčne količine'!$B$16:$G$36,MATCH(B19,('Referenčne količine'!$B$16:$B$36),0),MATCH($D$6,'Referenčne količine'!$B$5:$G$5,0))</f>
        <v>#N/A</v>
      </c>
      <c r="E19" s="35"/>
      <c r="F19" s="102"/>
      <c r="G19" s="102"/>
      <c r="H19" s="173"/>
      <c r="I19" s="174"/>
      <c r="J19" s="175"/>
      <c r="K19" s="172"/>
      <c r="L19" s="102"/>
      <c r="M19" s="102"/>
      <c r="N19" s="102"/>
      <c r="O19" s="102"/>
    </row>
    <row r="20" spans="2:15" ht="15" customHeight="1" x14ac:dyDescent="0.2">
      <c r="B20" s="171" t="s">
        <v>287</v>
      </c>
      <c r="C20" s="150" t="s">
        <v>64</v>
      </c>
      <c r="D20" s="29" t="e">
        <f>INDEX('Referenčne količine'!$B$16:$G$36,MATCH(B20,('Referenčne količine'!$B$16:$B$36),0),MATCH($D$6,'Referenčne količine'!$B$5:$G$5,0))</f>
        <v>#N/A</v>
      </c>
      <c r="E20" s="102"/>
      <c r="F20" s="102"/>
      <c r="G20" s="102"/>
      <c r="H20" s="173"/>
      <c r="I20" s="174"/>
      <c r="J20" s="175"/>
      <c r="K20" s="172"/>
      <c r="L20" s="102"/>
      <c r="M20" s="102"/>
      <c r="N20" s="102"/>
      <c r="O20" s="102"/>
    </row>
    <row r="21" spans="2:15" ht="15" customHeight="1" x14ac:dyDescent="0.2">
      <c r="B21" s="4" t="s">
        <v>288</v>
      </c>
      <c r="C21" s="2" t="s">
        <v>64</v>
      </c>
      <c r="D21" s="531" t="e">
        <f>INDEX('Referenčne količine'!$B$16:$G$36,MATCH(B21,('Referenčne količine'!$B$16:$B$36),0),MATCH($D$6,'Referenčne količine'!$B$5:$G$5,0))</f>
        <v>#N/A</v>
      </c>
      <c r="E21" s="102"/>
      <c r="F21" s="102"/>
      <c r="G21" s="102"/>
      <c r="H21" s="173"/>
      <c r="I21" s="174"/>
      <c r="J21" s="175"/>
      <c r="K21" s="172"/>
      <c r="L21" s="102"/>
      <c r="M21" s="102"/>
      <c r="N21" s="102"/>
      <c r="O21" s="102"/>
    </row>
    <row r="22" spans="2:15" ht="15" customHeight="1" x14ac:dyDescent="0.2">
      <c r="B22" s="171" t="s">
        <v>289</v>
      </c>
      <c r="C22" s="150" t="s">
        <v>64</v>
      </c>
      <c r="D22" s="29" t="e">
        <f>INDEX('Referenčne količine'!$B$16:$G$36,MATCH(B22,('Referenčne količine'!$B$16:$B$36),0),MATCH($D$6,'Referenčne količine'!$B$5:$G$5,0))</f>
        <v>#N/A</v>
      </c>
      <c r="E22" s="102"/>
      <c r="F22" s="102"/>
      <c r="G22" s="102"/>
      <c r="H22" s="173"/>
      <c r="I22" s="174"/>
      <c r="J22" s="175"/>
      <c r="K22" s="172"/>
      <c r="L22" s="102"/>
      <c r="M22" s="102"/>
      <c r="N22" s="102"/>
      <c r="O22" s="102"/>
    </row>
    <row r="23" spans="2:15" ht="15" customHeight="1" x14ac:dyDescent="0.2">
      <c r="B23" s="171" t="s">
        <v>290</v>
      </c>
      <c r="C23" s="150" t="s">
        <v>64</v>
      </c>
      <c r="D23" s="29" t="e">
        <f>INDEX('Referenčne količine'!$B$16:$G$36,MATCH(B23,('Referenčne količine'!$B$16:$B$36),0),MATCH($D$6,'Referenčne količine'!$B$5:$G$5,0))</f>
        <v>#N/A</v>
      </c>
      <c r="E23" s="102"/>
      <c r="F23" s="102"/>
      <c r="G23" s="102"/>
      <c r="H23" s="104"/>
      <c r="I23" s="105"/>
      <c r="J23" s="106"/>
      <c r="K23" s="172"/>
      <c r="L23" s="102"/>
      <c r="M23" s="97"/>
      <c r="N23" s="102"/>
      <c r="O23" s="102"/>
    </row>
    <row r="24" spans="2:15" ht="15" customHeight="1" x14ac:dyDescent="0.2">
      <c r="B24" s="171" t="s">
        <v>291</v>
      </c>
      <c r="C24" s="150" t="s">
        <v>64</v>
      </c>
      <c r="D24" s="29" t="e">
        <f>INDEX('Referenčne količine'!$B$16:$G$36,MATCH(B24,('Referenčne količine'!$B$16:$B$36),0),MATCH($D$6,'Referenčne količine'!$B$5:$G$5,0))</f>
        <v>#N/A</v>
      </c>
      <c r="E24" s="102"/>
      <c r="F24" s="102"/>
      <c r="G24" s="102"/>
      <c r="H24" s="104"/>
      <c r="I24" s="105"/>
      <c r="J24" s="106"/>
      <c r="K24" s="172"/>
      <c r="L24" s="102"/>
      <c r="M24" s="102"/>
      <c r="N24" s="102"/>
      <c r="O24" s="102"/>
    </row>
    <row r="25" spans="2:15" ht="15" customHeight="1" thickBot="1" x14ac:dyDescent="0.25">
      <c r="B25" s="204" t="s">
        <v>381</v>
      </c>
      <c r="C25" s="217" t="s">
        <v>64</v>
      </c>
      <c r="D25" s="541" t="e">
        <f>INDEX('Referenčne količine'!$B$16:$G$36,MATCH(B25,('Referenčne količine'!$B$16:$B$36),0),MATCH($D$6,'Referenčne količine'!$B$5:$G$5,0))</f>
        <v>#N/A</v>
      </c>
      <c r="E25" s="102"/>
      <c r="F25" s="102"/>
      <c r="G25" s="102"/>
      <c r="H25" s="104"/>
      <c r="I25" s="105"/>
      <c r="J25" s="106"/>
      <c r="K25" s="172"/>
      <c r="L25" s="102"/>
      <c r="M25" s="102"/>
      <c r="N25" s="102"/>
      <c r="O25" s="102"/>
    </row>
    <row r="26" spans="2:15" ht="15" customHeight="1" x14ac:dyDescent="0.2">
      <c r="B26" s="538" t="s">
        <v>268</v>
      </c>
      <c r="C26" s="486" t="s">
        <v>66</v>
      </c>
      <c r="D26" s="539" t="e">
        <f>INDEX('Referenčne količine'!$B$16:$G$36,MATCH(B26,('Referenčne količine'!$B$16:$B$36),0),MATCH($D$6,'Referenčne količine'!$B$5:$G$5,0))</f>
        <v>#N/A</v>
      </c>
      <c r="E26" s="102"/>
      <c r="F26" s="102"/>
      <c r="G26" s="102"/>
      <c r="H26" s="104"/>
      <c r="I26" s="105"/>
      <c r="J26" s="106"/>
      <c r="K26" s="172"/>
      <c r="L26" s="102"/>
      <c r="M26" s="102"/>
      <c r="N26" s="102"/>
      <c r="O26" s="102"/>
    </row>
    <row r="27" spans="2:15" ht="15" customHeight="1" x14ac:dyDescent="0.2">
      <c r="B27" s="171" t="s">
        <v>292</v>
      </c>
      <c r="C27" s="150" t="s">
        <v>66</v>
      </c>
      <c r="D27" s="176" t="e">
        <f>INDEX('Referenčne količine'!$B$16:$G$36,MATCH(B27,('Referenčne količine'!$B$16:$B$36),0),MATCH($D$6,'Referenčne količine'!$B$5:$G$5,0))</f>
        <v>#N/A</v>
      </c>
      <c r="E27" s="102"/>
      <c r="F27" s="102"/>
      <c r="G27" s="102"/>
      <c r="H27" s="104"/>
      <c r="I27" s="105"/>
      <c r="J27" s="106"/>
      <c r="K27" s="172"/>
      <c r="L27" s="102"/>
      <c r="M27" s="127"/>
      <c r="N27" s="102"/>
      <c r="O27" s="102"/>
    </row>
    <row r="28" spans="2:15" ht="15" customHeight="1" x14ac:dyDescent="0.2">
      <c r="B28" s="171" t="s">
        <v>67</v>
      </c>
      <c r="C28" s="150" t="s">
        <v>68</v>
      </c>
      <c r="D28" s="177" t="e">
        <f>INDEX('Referenčne količine'!$B$16:$G$36,MATCH(B28,('Referenčne količine'!$B$16:$B$36),0),MATCH($D$6,'Referenčne količine'!$B$5:$G$5,0))</f>
        <v>#N/A</v>
      </c>
      <c r="E28" s="102"/>
      <c r="F28" s="102"/>
      <c r="G28" s="102"/>
      <c r="H28" s="104"/>
      <c r="I28" s="105"/>
      <c r="J28" s="106"/>
      <c r="K28" s="172"/>
      <c r="L28" s="102"/>
      <c r="M28" s="102"/>
      <c r="N28" s="102"/>
      <c r="O28" s="102"/>
    </row>
    <row r="29" spans="2:15" ht="15" customHeight="1" x14ac:dyDescent="0.2">
      <c r="B29" s="171" t="s">
        <v>69</v>
      </c>
      <c r="C29" s="150" t="s">
        <v>68</v>
      </c>
      <c r="D29" s="177" t="e">
        <f>INDEX('Referenčne količine'!$B$16:$G$36,MATCH(B29,('Referenčne količine'!$B$16:$B$36),0),MATCH($D$6,'Referenčne količine'!$B$5:$G$5,0))</f>
        <v>#N/A</v>
      </c>
      <c r="E29" s="102"/>
      <c r="F29" s="102"/>
      <c r="G29" s="102"/>
      <c r="H29" s="104"/>
      <c r="I29" s="105"/>
      <c r="J29" s="106"/>
      <c r="K29" s="172"/>
      <c r="L29" s="102"/>
      <c r="M29" s="102"/>
      <c r="N29" s="102"/>
      <c r="O29" s="102"/>
    </row>
    <row r="30" spans="2:15" ht="15" customHeight="1" x14ac:dyDescent="0.2">
      <c r="B30" s="171" t="s">
        <v>277</v>
      </c>
      <c r="C30" s="150" t="s">
        <v>68</v>
      </c>
      <c r="D30" s="177" t="e">
        <f>INDEX('Referenčne količine'!$B$16:$G$36,MATCH(B30,('Referenčne količine'!$B$16:$B$36),0),MATCH($D$6,'Referenčne količine'!$B$5:$G$5,0))</f>
        <v>#N/A</v>
      </c>
      <c r="E30" s="102"/>
      <c r="F30" s="102"/>
      <c r="G30" s="102"/>
      <c r="H30" s="126"/>
      <c r="I30" s="174"/>
      <c r="J30" s="175"/>
      <c r="K30" s="172"/>
      <c r="L30" s="102"/>
      <c r="M30" s="102"/>
      <c r="N30" s="102"/>
      <c r="O30" s="102"/>
    </row>
    <row r="31" spans="2:15" ht="15" customHeight="1" x14ac:dyDescent="0.2">
      <c r="B31" s="10" t="s">
        <v>86</v>
      </c>
      <c r="C31" s="11"/>
      <c r="D31" s="12"/>
      <c r="E31" s="102"/>
      <c r="F31" s="102"/>
      <c r="G31" s="102"/>
      <c r="H31" s="173"/>
      <c r="I31" s="174"/>
      <c r="J31" s="175"/>
      <c r="K31" s="172"/>
      <c r="L31" s="102"/>
      <c r="M31" s="102"/>
      <c r="N31" s="102"/>
      <c r="O31" s="102"/>
    </row>
    <row r="32" spans="2:15" ht="15" customHeight="1" x14ac:dyDescent="0.2">
      <c r="B32" s="178" t="s">
        <v>278</v>
      </c>
      <c r="C32" s="155" t="s">
        <v>64</v>
      </c>
      <c r="D32" s="29" t="e">
        <f>INDEX('Referenčne količine'!$B$37:$G$47,MATCH(B32,('Referenčne količine'!$B$37:$B$47),0),MATCH($D$6,'Referenčne količine'!$B$5:$G$5,0))</f>
        <v>#N/A</v>
      </c>
      <c r="E32" s="102"/>
      <c r="F32" s="102"/>
      <c r="G32" s="102"/>
      <c r="H32" s="173"/>
      <c r="I32" s="174"/>
      <c r="J32" s="175"/>
      <c r="K32" s="172"/>
      <c r="L32" s="102"/>
      <c r="M32" s="102"/>
      <c r="N32" s="102"/>
      <c r="O32" s="102"/>
    </row>
    <row r="33" spans="2:12" ht="15" customHeight="1" x14ac:dyDescent="0.2">
      <c r="B33" s="178" t="s">
        <v>279</v>
      </c>
      <c r="C33" s="155" t="s">
        <v>64</v>
      </c>
      <c r="D33" s="29" t="e">
        <f>INDEX('Referenčne količine'!$B$37:$G$47,MATCH(B33,('Referenčne količine'!$B$37:$B$47),0),MATCH($D$6,'Referenčne količine'!$B$5:$G$5,0))</f>
        <v>#N/A</v>
      </c>
      <c r="E33" s="102"/>
      <c r="F33" s="102"/>
      <c r="G33" s="102"/>
      <c r="H33" s="110" t="s">
        <v>87</v>
      </c>
      <c r="I33" s="111"/>
      <c r="J33" s="112"/>
      <c r="K33" s="179" t="e">
        <f>SUM(K13:K32)</f>
        <v>#N/A</v>
      </c>
      <c r="L33" s="102"/>
    </row>
    <row r="34" spans="2:12" ht="15" customHeight="1" x14ac:dyDescent="0.2">
      <c r="B34" s="178" t="s">
        <v>280</v>
      </c>
      <c r="C34" s="155" t="s">
        <v>64</v>
      </c>
      <c r="D34" s="29" t="e">
        <f>INDEX('Referenčne količine'!$B$37:$G$47,MATCH(B34,('Referenčne količine'!$B$37:$B$47),0),MATCH($D$6,'Referenčne količine'!$B$5:$G$5,0))</f>
        <v>#N/A</v>
      </c>
      <c r="E34" s="102"/>
      <c r="F34" s="102"/>
      <c r="G34" s="102"/>
      <c r="H34" s="110" t="s">
        <v>88</v>
      </c>
      <c r="I34" s="111"/>
      <c r="J34" s="112"/>
      <c r="K34" s="179" t="e">
        <f>0.22*K33</f>
        <v>#N/A</v>
      </c>
      <c r="L34" s="102"/>
    </row>
    <row r="35" spans="2:12" ht="18.75" customHeight="1" thickBot="1" x14ac:dyDescent="0.25">
      <c r="B35" s="178" t="s">
        <v>281</v>
      </c>
      <c r="C35" s="155" t="s">
        <v>64</v>
      </c>
      <c r="D35" s="29" t="e">
        <f>INDEX('Referenčne količine'!$B$37:$G$47,MATCH(B35,('Referenčne količine'!$B$37:$B$47),0),MATCH($D$6,'Referenčne količine'!$B$5:$G$5,0))</f>
        <v>#N/A</v>
      </c>
      <c r="E35" s="102"/>
      <c r="F35" s="102"/>
      <c r="G35" s="102"/>
      <c r="H35" s="113" t="s">
        <v>89</v>
      </c>
      <c r="I35" s="114"/>
      <c r="J35" s="115"/>
      <c r="K35" s="180" t="e">
        <f>K33+K34</f>
        <v>#N/A</v>
      </c>
      <c r="L35" s="102"/>
    </row>
    <row r="36" spans="2:12" ht="18.75" customHeight="1" x14ac:dyDescent="0.2">
      <c r="B36" s="178" t="s">
        <v>283</v>
      </c>
      <c r="C36" s="155" t="s">
        <v>64</v>
      </c>
      <c r="D36" s="29" t="e">
        <f>INDEX('Referenčne količine'!$B$37:$G$47,MATCH(B36,('Referenčne količine'!$B$37:$B$47),0),MATCH($D$6,'Referenčne količine'!$B$5:$G$5,0))</f>
        <v>#N/A</v>
      </c>
      <c r="E36" s="102"/>
      <c r="F36" s="102"/>
      <c r="G36" s="102"/>
      <c r="H36" s="102"/>
      <c r="I36" s="102"/>
      <c r="J36" s="102"/>
      <c r="K36" s="102"/>
      <c r="L36" s="102"/>
    </row>
    <row r="37" spans="2:12" ht="18.75" customHeight="1" x14ac:dyDescent="0.2">
      <c r="B37" s="178" t="s">
        <v>282</v>
      </c>
      <c r="C37" s="155" t="s">
        <v>64</v>
      </c>
      <c r="D37" s="29" t="e">
        <f>INDEX('Referenčne količine'!$B$37:$G$47,MATCH(B37,('Referenčne količine'!$B$37:$B$47),0),MATCH($D$6,'Referenčne količine'!$B$5:$G$5,0))</f>
        <v>#N/A</v>
      </c>
      <c r="E37" s="102"/>
      <c r="F37" s="102"/>
      <c r="G37" s="102"/>
      <c r="H37" s="102" t="s">
        <v>90</v>
      </c>
      <c r="I37" s="102"/>
      <c r="J37" s="102"/>
      <c r="K37" s="102"/>
      <c r="L37" s="102"/>
    </row>
    <row r="38" spans="2:12" ht="15" customHeight="1" x14ac:dyDescent="0.2">
      <c r="B38" s="178" t="s">
        <v>293</v>
      </c>
      <c r="C38" s="155" t="s">
        <v>66</v>
      </c>
      <c r="D38" s="176" t="e">
        <f>INDEX('Referenčne količine'!$B$37:$G$47,MATCH(B38,('Referenčne količine'!$B$37:$B$47),0),MATCH($D$6,'Referenčne količine'!$B$5:$G$5,0))</f>
        <v>#N/A</v>
      </c>
      <c r="E38" s="102"/>
      <c r="F38" s="102"/>
      <c r="G38" s="102"/>
      <c r="H38" s="102"/>
      <c r="I38" s="102"/>
      <c r="J38" s="102"/>
      <c r="K38" s="102"/>
      <c r="L38" s="102"/>
    </row>
    <row r="39" spans="2:12" ht="15" customHeight="1" x14ac:dyDescent="0.2">
      <c r="B39" s="178" t="s">
        <v>67</v>
      </c>
      <c r="C39" s="155" t="s">
        <v>68</v>
      </c>
      <c r="D39" s="177" t="e">
        <f>INDEX('Referenčne količine'!$B$37:$G$47,MATCH(B39,('Referenčne količine'!$B$37:$B$47),0),MATCH($D$6,'Referenčne količine'!$B$5:$G$5,0))</f>
        <v>#N/A</v>
      </c>
      <c r="E39" s="102"/>
      <c r="F39" s="102"/>
      <c r="G39" s="102"/>
      <c r="H39" s="102"/>
      <c r="I39" s="102"/>
      <c r="J39" s="102"/>
      <c r="K39" s="102"/>
      <c r="L39" s="102"/>
    </row>
    <row r="40" spans="2:12" ht="15" customHeight="1" x14ac:dyDescent="0.2">
      <c r="B40" s="178" t="s">
        <v>69</v>
      </c>
      <c r="C40" s="155" t="s">
        <v>68</v>
      </c>
      <c r="D40" s="177" t="e">
        <f>INDEX('Referenčne količine'!$B$37:$G$47,MATCH(B40,('Referenčne količine'!$B$37:$B$47),0),MATCH($D$6,'Referenčne količine'!$B$5:$G$5,0))</f>
        <v>#N/A</v>
      </c>
      <c r="E40" s="102"/>
      <c r="F40" s="102"/>
      <c r="G40" s="102"/>
      <c r="H40" s="102"/>
      <c r="I40" s="102"/>
      <c r="J40" s="102"/>
      <c r="K40" s="102"/>
      <c r="L40" s="102"/>
    </row>
    <row r="41" spans="2:12" x14ac:dyDescent="0.2">
      <c r="B41" s="178" t="s">
        <v>70</v>
      </c>
      <c r="C41" s="155" t="s">
        <v>68</v>
      </c>
      <c r="D41" s="177" t="e">
        <f>INDEX('Referenčne količine'!$B$37:$G$47,MATCH(B41,('Referenčne količine'!$B$37:$B$47),0),MATCH($D$6,'Referenčne količine'!$B$5:$G$5,0))</f>
        <v>#N/A</v>
      </c>
    </row>
    <row r="42" spans="2:12" x14ac:dyDescent="0.2">
      <c r="B42" s="13" t="s">
        <v>71</v>
      </c>
      <c r="C42" s="14"/>
      <c r="D42" s="15"/>
    </row>
    <row r="43" spans="2:12" x14ac:dyDescent="0.2">
      <c r="B43" s="181" t="s">
        <v>72</v>
      </c>
      <c r="C43" s="159" t="s">
        <v>68</v>
      </c>
      <c r="D43" s="177" t="e">
        <f>INDEX('Referenčne količine'!$B$48:$G$49,MATCH(B43,('Referenčne količine'!$B$48:$B$49),0),MATCH($D$6,'Referenčne količine'!$B$5:$G$5,0))</f>
        <v>#N/A</v>
      </c>
      <c r="E43" s="102"/>
      <c r="F43" s="102"/>
      <c r="G43" s="102"/>
      <c r="H43" s="102"/>
      <c r="I43" s="102"/>
      <c r="J43" s="102"/>
      <c r="K43" s="102"/>
      <c r="L43" s="87"/>
    </row>
    <row r="44" spans="2:12" x14ac:dyDescent="0.2">
      <c r="B44" s="16" t="s">
        <v>73</v>
      </c>
      <c r="C44" s="17"/>
      <c r="D44" s="18"/>
    </row>
    <row r="45" spans="2:12" x14ac:dyDescent="0.2">
      <c r="B45" s="182" t="s">
        <v>74</v>
      </c>
      <c r="C45" s="163" t="s">
        <v>68</v>
      </c>
      <c r="D45" s="177" t="e">
        <f>INDEX('Referenčne količine'!$B$50:$G$52,MATCH(B45,('Referenčne količine'!$B$50:$B$52),0),MATCH($D$6,'Referenčne količine'!$B$5:$G$5,0))</f>
        <v>#N/A</v>
      </c>
      <c r="E45" s="102"/>
      <c r="F45" s="102"/>
      <c r="G45" s="102"/>
      <c r="H45" s="102"/>
      <c r="I45" s="102"/>
      <c r="J45" s="102"/>
      <c r="K45" s="102"/>
      <c r="L45" s="102"/>
    </row>
    <row r="46" spans="2:12" ht="13.5" thickBot="1" x14ac:dyDescent="0.25">
      <c r="B46" s="183" t="s">
        <v>284</v>
      </c>
      <c r="C46" s="184" t="s">
        <v>68</v>
      </c>
      <c r="D46" s="185" t="e">
        <f>INDEX('Referenčne količine'!$B$50:$G$52,MATCH(B46,('Referenčne količine'!$B$50:$B$52),0),MATCH($D$6,'Referenčne količine'!$B$5:$G$5,0))</f>
        <v>#N/A</v>
      </c>
    </row>
    <row r="47" spans="2:12" x14ac:dyDescent="0.2">
      <c r="E47" s="102"/>
      <c r="F47" s="102"/>
      <c r="G47" s="102"/>
      <c r="H47" s="102"/>
      <c r="I47" s="102"/>
      <c r="J47" s="102"/>
      <c r="K47" s="102"/>
      <c r="L47" s="102"/>
    </row>
    <row r="54" spans="2:16" ht="16.5" thickBot="1" x14ac:dyDescent="0.3">
      <c r="B54" s="39" t="s">
        <v>304</v>
      </c>
      <c r="C54" s="102"/>
      <c r="D54" s="102"/>
      <c r="E54" s="102"/>
      <c r="F54" s="102"/>
      <c r="G54" s="102"/>
      <c r="H54" s="39" t="s">
        <v>91</v>
      </c>
      <c r="I54" s="102"/>
      <c r="J54" s="102"/>
      <c r="K54" s="102"/>
      <c r="L54" s="102"/>
      <c r="M54" s="102"/>
      <c r="N54" s="35"/>
      <c r="O54" s="35"/>
      <c r="P54" s="35"/>
    </row>
    <row r="55" spans="2:16" ht="15" customHeight="1" x14ac:dyDescent="0.25">
      <c r="B55" s="1168" t="s">
        <v>92</v>
      </c>
      <c r="C55" s="1169"/>
      <c r="D55" s="1169"/>
      <c r="E55" s="1170"/>
      <c r="F55" s="102"/>
      <c r="G55" s="102"/>
      <c r="H55" s="1171" t="s">
        <v>93</v>
      </c>
      <c r="I55" s="1172"/>
      <c r="J55" s="1173"/>
      <c r="K55" s="102"/>
      <c r="L55" s="102"/>
      <c r="M55" s="102"/>
      <c r="N55" s="1156"/>
      <c r="O55" s="1156"/>
      <c r="P55" s="1156"/>
    </row>
    <row r="56" spans="2:16" ht="15" customHeight="1" x14ac:dyDescent="0.25">
      <c r="B56" s="187" t="s">
        <v>306</v>
      </c>
      <c r="C56" s="508" t="e">
        <f>D11</f>
        <v>#N/A</v>
      </c>
      <c r="D56" s="122" t="s">
        <v>64</v>
      </c>
      <c r="E56" s="29" t="e">
        <f>SUM(J83:M83)</f>
        <v>#N/A</v>
      </c>
      <c r="F56" s="102"/>
      <c r="G56" s="102"/>
      <c r="H56" s="25" t="s">
        <v>95</v>
      </c>
      <c r="I56" s="26" t="s">
        <v>96</v>
      </c>
      <c r="J56" s="27" t="s">
        <v>97</v>
      </c>
      <c r="K56" s="102"/>
      <c r="L56" s="102"/>
      <c r="M56" s="102"/>
      <c r="N56" s="35"/>
      <c r="O56" s="35"/>
      <c r="P56" s="35"/>
    </row>
    <row r="57" spans="2:16" ht="15" customHeight="1" x14ac:dyDescent="0.25">
      <c r="B57" s="187" t="s">
        <v>307</v>
      </c>
      <c r="C57" s="508" t="s">
        <v>99</v>
      </c>
      <c r="D57" s="122" t="s">
        <v>64</v>
      </c>
      <c r="E57" s="29" t="e">
        <f>SUM(J84:M84)</f>
        <v>#N/A</v>
      </c>
      <c r="F57" s="102"/>
      <c r="G57" s="102"/>
      <c r="H57" s="28">
        <v>1</v>
      </c>
      <c r="I57" s="23" t="e">
        <f t="shared" ref="I57:I71" si="0">$E$88</f>
        <v>#N/A</v>
      </c>
      <c r="J57" s="24" t="e">
        <f t="shared" ref="J57:J71" si="1">I57/((1+$J$74)^H57)</f>
        <v>#N/A</v>
      </c>
      <c r="K57" s="102"/>
      <c r="L57" s="102"/>
      <c r="M57" s="102"/>
      <c r="N57" s="35"/>
      <c r="O57" s="35"/>
      <c r="P57" s="35"/>
    </row>
    <row r="58" spans="2:16" ht="15" customHeight="1" x14ac:dyDescent="0.25">
      <c r="B58" s="187" t="s">
        <v>308</v>
      </c>
      <c r="C58" s="509" t="s">
        <v>31</v>
      </c>
      <c r="D58" s="122" t="s">
        <v>64</v>
      </c>
      <c r="E58" s="29">
        <f>SUM(J85:M85)</f>
        <v>0</v>
      </c>
      <c r="F58" s="102"/>
      <c r="G58" s="102"/>
      <c r="H58" s="28">
        <v>2</v>
      </c>
      <c r="I58" s="23" t="e">
        <f t="shared" si="0"/>
        <v>#N/A</v>
      </c>
      <c r="J58" s="24" t="e">
        <f t="shared" si="1"/>
        <v>#N/A</v>
      </c>
      <c r="K58" s="102"/>
      <c r="L58" s="102"/>
      <c r="M58" s="102"/>
      <c r="N58" s="35"/>
      <c r="O58" s="35"/>
      <c r="P58" s="35"/>
    </row>
    <row r="59" spans="2:16" ht="15" customHeight="1" x14ac:dyDescent="0.25">
      <c r="B59" s="527" t="s">
        <v>318</v>
      </c>
      <c r="C59" s="530"/>
      <c r="D59" s="99" t="s">
        <v>64</v>
      </c>
      <c r="E59" s="531" t="e">
        <f>SUM(E56:E58)</f>
        <v>#N/A</v>
      </c>
      <c r="F59" s="102"/>
      <c r="G59" s="102"/>
      <c r="H59" s="28">
        <v>3</v>
      </c>
      <c r="I59" s="23" t="e">
        <f t="shared" si="0"/>
        <v>#N/A</v>
      </c>
      <c r="J59" s="24" t="e">
        <f t="shared" si="1"/>
        <v>#N/A</v>
      </c>
      <c r="K59" s="102"/>
      <c r="L59" s="102"/>
      <c r="M59" s="102"/>
      <c r="N59" s="35"/>
      <c r="O59" s="35"/>
      <c r="P59" s="35"/>
    </row>
    <row r="60" spans="2:16" ht="15" customHeight="1" x14ac:dyDescent="0.25">
      <c r="B60" s="527" t="s">
        <v>322</v>
      </c>
      <c r="C60" s="530"/>
      <c r="D60" s="99" t="s">
        <v>64</v>
      </c>
      <c r="E60" s="531" t="e">
        <f>N87</f>
        <v>#N/A</v>
      </c>
      <c r="F60" s="102"/>
      <c r="G60" s="102"/>
      <c r="H60" s="28">
        <v>4</v>
      </c>
      <c r="I60" s="23" t="e">
        <f t="shared" si="0"/>
        <v>#N/A</v>
      </c>
      <c r="J60" s="24" t="e">
        <f t="shared" si="1"/>
        <v>#N/A</v>
      </c>
      <c r="K60" s="102"/>
      <c r="L60" s="102"/>
      <c r="M60" s="102"/>
      <c r="N60" s="35"/>
      <c r="O60" s="35"/>
      <c r="P60" s="35"/>
    </row>
    <row r="61" spans="2:16" ht="15" customHeight="1" x14ac:dyDescent="0.25">
      <c r="B61" s="187" t="s">
        <v>309</v>
      </c>
      <c r="C61" s="508" t="e">
        <f>C56</f>
        <v>#N/A</v>
      </c>
      <c r="D61" s="122" t="s">
        <v>66</v>
      </c>
      <c r="E61" s="186" t="e">
        <f>D26</f>
        <v>#N/A</v>
      </c>
      <c r="F61" s="102"/>
      <c r="G61" s="102"/>
      <c r="H61" s="28">
        <v>5</v>
      </c>
      <c r="I61" s="23" t="e">
        <f t="shared" si="0"/>
        <v>#N/A</v>
      </c>
      <c r="J61" s="24" t="e">
        <f t="shared" si="1"/>
        <v>#N/A</v>
      </c>
      <c r="K61" s="102"/>
      <c r="L61" s="102"/>
      <c r="M61" s="102"/>
      <c r="N61" s="35"/>
      <c r="O61" s="35"/>
      <c r="P61" s="35"/>
    </row>
    <row r="62" spans="2:16" ht="15" customHeight="1" x14ac:dyDescent="0.25">
      <c r="B62" s="187" t="s">
        <v>310</v>
      </c>
      <c r="C62" s="508" t="str">
        <f>C57</f>
        <v>EE za TČ</v>
      </c>
      <c r="D62" s="122" t="s">
        <v>66</v>
      </c>
      <c r="E62" s="186" t="e">
        <f>D38</f>
        <v>#N/A</v>
      </c>
      <c r="F62" s="102"/>
      <c r="G62" s="102"/>
      <c r="H62" s="28">
        <v>6</v>
      </c>
      <c r="I62" s="23" t="e">
        <f t="shared" si="0"/>
        <v>#N/A</v>
      </c>
      <c r="J62" s="24" t="e">
        <f t="shared" si="1"/>
        <v>#N/A</v>
      </c>
      <c r="K62" s="102"/>
      <c r="L62" s="102"/>
      <c r="M62" s="102"/>
      <c r="N62" s="35"/>
      <c r="O62" s="35"/>
      <c r="P62" s="35"/>
    </row>
    <row r="63" spans="2:16" ht="15" customHeight="1" x14ac:dyDescent="0.25">
      <c r="B63" s="187" t="s">
        <v>311</v>
      </c>
      <c r="C63" s="509" t="str">
        <f>C58</f>
        <v>*vpiši</v>
      </c>
      <c r="D63" s="122" t="s">
        <v>66</v>
      </c>
      <c r="E63" s="186">
        <v>0</v>
      </c>
      <c r="F63" s="102"/>
      <c r="G63" s="102"/>
      <c r="H63" s="28">
        <v>7</v>
      </c>
      <c r="I63" s="23" t="e">
        <f t="shared" si="0"/>
        <v>#N/A</v>
      </c>
      <c r="J63" s="24" t="e">
        <f t="shared" si="1"/>
        <v>#N/A</v>
      </c>
      <c r="K63" s="102"/>
      <c r="L63" s="102"/>
      <c r="M63" s="102"/>
      <c r="N63" s="35"/>
      <c r="O63" s="35"/>
      <c r="P63" s="35"/>
    </row>
    <row r="64" spans="2:16" ht="15" customHeight="1" x14ac:dyDescent="0.25">
      <c r="B64" s="187" t="s">
        <v>292</v>
      </c>
      <c r="C64" s="509"/>
      <c r="D64" s="122" t="s">
        <v>66</v>
      </c>
      <c r="E64" s="186">
        <f>IFERROR(E70/E60*1000,0)</f>
        <v>0</v>
      </c>
      <c r="F64" s="102"/>
      <c r="G64" s="102"/>
      <c r="H64" s="28">
        <v>8</v>
      </c>
      <c r="I64" s="23" t="e">
        <f t="shared" si="0"/>
        <v>#N/A</v>
      </c>
      <c r="J64" s="24" t="e">
        <f t="shared" si="1"/>
        <v>#N/A</v>
      </c>
      <c r="K64" s="102"/>
      <c r="L64" s="102"/>
      <c r="M64" s="102"/>
      <c r="N64" s="35"/>
      <c r="O64" s="35"/>
      <c r="P64" s="35"/>
    </row>
    <row r="65" spans="2:16" ht="15" customHeight="1" x14ac:dyDescent="0.25">
      <c r="B65" s="187" t="s">
        <v>312</v>
      </c>
      <c r="C65" s="508" t="e">
        <f>C56</f>
        <v>#N/A</v>
      </c>
      <c r="D65" s="122" t="s">
        <v>64</v>
      </c>
      <c r="E65" s="30" t="e">
        <f>D14-E56</f>
        <v>#N/A</v>
      </c>
      <c r="F65" s="102"/>
      <c r="G65" s="102"/>
      <c r="H65" s="28">
        <v>9</v>
      </c>
      <c r="I65" s="23" t="e">
        <f t="shared" si="0"/>
        <v>#N/A</v>
      </c>
      <c r="J65" s="24" t="e">
        <f t="shared" si="1"/>
        <v>#N/A</v>
      </c>
      <c r="K65" s="102"/>
      <c r="L65" s="102"/>
      <c r="M65" s="102"/>
      <c r="N65" s="35"/>
      <c r="O65" s="35"/>
      <c r="P65" s="35"/>
    </row>
    <row r="66" spans="2:16" ht="15" customHeight="1" x14ac:dyDescent="0.25">
      <c r="B66" s="187" t="s">
        <v>313</v>
      </c>
      <c r="C66" s="508" t="str">
        <f>C57</f>
        <v>EE za TČ</v>
      </c>
      <c r="D66" s="122" t="s">
        <v>64</v>
      </c>
      <c r="E66" s="30" t="e">
        <f>(-1)*E57</f>
        <v>#N/A</v>
      </c>
      <c r="F66" s="102"/>
      <c r="G66" s="102"/>
      <c r="H66" s="28">
        <v>10</v>
      </c>
      <c r="I66" s="23" t="e">
        <f t="shared" si="0"/>
        <v>#N/A</v>
      </c>
      <c r="J66" s="24" t="e">
        <f t="shared" si="1"/>
        <v>#N/A</v>
      </c>
      <c r="K66" s="102"/>
      <c r="L66" s="102"/>
      <c r="M66" s="102"/>
      <c r="N66" s="35"/>
      <c r="O66" s="35"/>
      <c r="P66" s="35"/>
    </row>
    <row r="67" spans="2:16" ht="15" customHeight="1" x14ac:dyDescent="0.25">
      <c r="B67" s="187" t="s">
        <v>314</v>
      </c>
      <c r="C67" s="508" t="str">
        <f>C58</f>
        <v>*vpiši</v>
      </c>
      <c r="D67" s="122" t="s">
        <v>64</v>
      </c>
      <c r="E67" s="30">
        <f>(-1)*E58</f>
        <v>0</v>
      </c>
      <c r="F67" s="102"/>
      <c r="G67" s="102"/>
      <c r="H67" s="28">
        <v>11</v>
      </c>
      <c r="I67" s="23" t="e">
        <f t="shared" si="0"/>
        <v>#N/A</v>
      </c>
      <c r="J67" s="24" t="e">
        <f t="shared" si="1"/>
        <v>#N/A</v>
      </c>
      <c r="K67" s="102"/>
      <c r="L67" s="102"/>
      <c r="M67" s="102"/>
      <c r="N67" s="35"/>
      <c r="O67" s="35"/>
      <c r="P67" s="35"/>
    </row>
    <row r="68" spans="2:16" ht="15" customHeight="1" x14ac:dyDescent="0.25">
      <c r="B68" s="527" t="s">
        <v>317</v>
      </c>
      <c r="C68" s="528"/>
      <c r="D68" s="99" t="s">
        <v>64</v>
      </c>
      <c r="E68" s="529" t="e">
        <f>SUM(E65:E67)</f>
        <v>#N/A</v>
      </c>
      <c r="F68" s="102"/>
      <c r="G68" s="102"/>
      <c r="H68" s="28">
        <v>12</v>
      </c>
      <c r="I68" s="23" t="e">
        <f t="shared" si="0"/>
        <v>#N/A</v>
      </c>
      <c r="J68" s="24" t="e">
        <f t="shared" si="1"/>
        <v>#N/A</v>
      </c>
      <c r="K68" s="102"/>
      <c r="L68" s="102"/>
      <c r="M68" s="102"/>
      <c r="N68" s="35"/>
      <c r="O68" s="35"/>
      <c r="P68" s="35"/>
    </row>
    <row r="69" spans="2:16" ht="15" customHeight="1" x14ac:dyDescent="0.25">
      <c r="B69" s="527" t="s">
        <v>323</v>
      </c>
      <c r="C69" s="528"/>
      <c r="D69" s="99" t="s">
        <v>64</v>
      </c>
      <c r="E69" s="529" t="e">
        <f>D21-E60</f>
        <v>#N/A</v>
      </c>
      <c r="F69" s="102"/>
      <c r="G69" s="102"/>
      <c r="H69" s="28">
        <v>13</v>
      </c>
      <c r="I69" s="23" t="e">
        <f t="shared" si="0"/>
        <v>#N/A</v>
      </c>
      <c r="J69" s="24" t="e">
        <f t="shared" si="1"/>
        <v>#N/A</v>
      </c>
      <c r="K69" s="102"/>
      <c r="L69" s="102"/>
      <c r="M69" s="102"/>
      <c r="N69" s="35"/>
      <c r="O69" s="35"/>
      <c r="P69" s="35"/>
    </row>
    <row r="70" spans="2:16" ht="15" customHeight="1" x14ac:dyDescent="0.25">
      <c r="B70" s="187" t="s">
        <v>315</v>
      </c>
      <c r="C70" s="188"/>
      <c r="D70" s="122" t="s">
        <v>68</v>
      </c>
      <c r="E70" s="179" t="e">
        <f>(E56*E61+E57*E62+E58*E63)/1000</f>
        <v>#N/A</v>
      </c>
      <c r="F70" s="102"/>
      <c r="G70" s="102"/>
      <c r="H70" s="28">
        <v>14</v>
      </c>
      <c r="I70" s="23" t="e">
        <f t="shared" si="0"/>
        <v>#N/A</v>
      </c>
      <c r="J70" s="24" t="e">
        <f t="shared" si="1"/>
        <v>#N/A</v>
      </c>
      <c r="K70" s="102"/>
      <c r="L70" s="102"/>
      <c r="M70" s="102"/>
      <c r="N70" s="35"/>
      <c r="O70" s="35"/>
      <c r="P70" s="35"/>
    </row>
    <row r="71" spans="2:16" ht="15" customHeight="1" x14ac:dyDescent="0.25">
      <c r="B71" s="527" t="s">
        <v>101</v>
      </c>
      <c r="C71" s="532"/>
      <c r="D71" s="99" t="s">
        <v>68</v>
      </c>
      <c r="E71" s="65" t="e">
        <f>D30-E70</f>
        <v>#N/A</v>
      </c>
      <c r="F71" s="779">
        <v>129282.89947062556</v>
      </c>
      <c r="G71" s="102"/>
      <c r="H71" s="28">
        <v>15</v>
      </c>
      <c r="I71" s="23" t="e">
        <f t="shared" si="0"/>
        <v>#N/A</v>
      </c>
      <c r="J71" s="24" t="e">
        <f t="shared" si="1"/>
        <v>#N/A</v>
      </c>
      <c r="K71" s="102"/>
      <c r="L71" s="102"/>
      <c r="M71" s="102"/>
      <c r="N71" s="1156"/>
      <c r="O71" s="1156"/>
      <c r="P71" s="35"/>
    </row>
    <row r="72" spans="2:16" ht="15" customHeight="1" thickBot="1" x14ac:dyDescent="0.3">
      <c r="B72" s="189" t="s">
        <v>108</v>
      </c>
      <c r="C72" s="190"/>
      <c r="D72" s="191" t="s">
        <v>102</v>
      </c>
      <c r="E72" s="192" t="e">
        <f>E71/D30</f>
        <v>#N/A</v>
      </c>
      <c r="F72" s="102"/>
      <c r="G72" s="102"/>
      <c r="H72" s="1174" t="s">
        <v>105</v>
      </c>
      <c r="I72" s="1175"/>
      <c r="J72" s="52" t="e">
        <f>SUM(J57:J71)</f>
        <v>#N/A</v>
      </c>
      <c r="K72" s="102"/>
      <c r="L72" s="102"/>
      <c r="M72" s="102"/>
      <c r="N72" s="1156"/>
      <c r="O72" s="1156"/>
      <c r="P72" s="1156"/>
    </row>
    <row r="73" spans="2:16" ht="15" customHeight="1" thickBot="1" x14ac:dyDescent="0.3">
      <c r="B73" s="193"/>
      <c r="C73" s="193"/>
      <c r="D73" s="193"/>
      <c r="E73" s="193"/>
      <c r="F73" s="102"/>
      <c r="G73" s="102"/>
      <c r="H73" s="1176"/>
      <c r="I73" s="1177"/>
      <c r="J73" s="1178"/>
      <c r="K73" s="102"/>
      <c r="L73" s="102"/>
      <c r="M73" s="102"/>
      <c r="N73" s="35"/>
      <c r="O73" s="35"/>
      <c r="P73" s="35"/>
    </row>
    <row r="74" spans="2:16" ht="15" customHeight="1" thickBot="1" x14ac:dyDescent="0.3">
      <c r="B74" s="517" t="s">
        <v>103</v>
      </c>
      <c r="C74" s="518"/>
      <c r="D74" s="518"/>
      <c r="E74" s="519"/>
      <c r="F74" s="102"/>
      <c r="G74" s="102"/>
      <c r="H74" s="196" t="s">
        <v>107</v>
      </c>
      <c r="I74" s="197"/>
      <c r="J74" s="198">
        <v>0.04</v>
      </c>
      <c r="K74" s="102"/>
      <c r="L74" s="102"/>
      <c r="M74" s="102"/>
      <c r="N74" s="35"/>
      <c r="O74" s="35"/>
      <c r="P74" s="35"/>
    </row>
    <row r="75" spans="2:16" ht="15" customHeight="1" x14ac:dyDescent="0.25">
      <c r="B75" s="194" t="s">
        <v>316</v>
      </c>
      <c r="C75" s="195" t="s">
        <v>43</v>
      </c>
      <c r="D75" s="195" t="s">
        <v>64</v>
      </c>
      <c r="E75" s="30" t="e">
        <f>SUM(I90:K90)</f>
        <v>#N/A</v>
      </c>
      <c r="F75" s="102"/>
      <c r="G75" s="102"/>
      <c r="H75" s="102"/>
      <c r="I75" s="102"/>
      <c r="J75" s="102"/>
      <c r="K75" s="102"/>
      <c r="L75" s="102"/>
      <c r="M75" s="102"/>
      <c r="N75" s="35"/>
      <c r="O75" s="35"/>
      <c r="P75" s="35"/>
    </row>
    <row r="76" spans="2:16" ht="15" x14ac:dyDescent="0.25">
      <c r="B76" s="194" t="s">
        <v>65</v>
      </c>
      <c r="C76" s="195" t="str">
        <f>C75</f>
        <v>EE</v>
      </c>
      <c r="D76" s="195" t="s">
        <v>66</v>
      </c>
      <c r="E76" s="186" t="e">
        <f>D38</f>
        <v>#N/A</v>
      </c>
      <c r="F76" s="102"/>
      <c r="G76" s="102"/>
      <c r="H76" s="102"/>
      <c r="I76" s="102"/>
      <c r="J76" s="102"/>
      <c r="K76" s="102"/>
      <c r="L76" s="102"/>
      <c r="M76" s="102"/>
      <c r="N76" s="35"/>
      <c r="O76" s="35"/>
      <c r="P76" s="35"/>
    </row>
    <row r="77" spans="2:16" ht="15" customHeight="1" x14ac:dyDescent="0.25">
      <c r="B77" s="194" t="s">
        <v>104</v>
      </c>
      <c r="C77" s="195" t="str">
        <f>C75</f>
        <v>EE</v>
      </c>
      <c r="D77" s="195" t="s">
        <v>64</v>
      </c>
      <c r="E77" s="30" t="e">
        <f>D34-E75</f>
        <v>#N/A</v>
      </c>
      <c r="F77" s="102"/>
      <c r="G77" s="102"/>
      <c r="H77" s="102"/>
      <c r="I77" s="102"/>
      <c r="J77" s="102"/>
      <c r="K77" s="102"/>
      <c r="L77" s="102"/>
      <c r="M77" s="102"/>
      <c r="N77" s="35"/>
      <c r="O77" s="35"/>
      <c r="P77" s="35"/>
    </row>
    <row r="78" spans="2:16" ht="30" customHeight="1" x14ac:dyDescent="0.25">
      <c r="B78" s="194" t="s">
        <v>106</v>
      </c>
      <c r="C78" s="195" t="s">
        <v>43</v>
      </c>
      <c r="D78" s="195" t="s">
        <v>68</v>
      </c>
      <c r="E78" s="179" t="e">
        <f>E75*E76/1000</f>
        <v>#N/A</v>
      </c>
      <c r="F78" s="102"/>
      <c r="G78" s="102"/>
      <c r="H78" s="102"/>
      <c r="I78" s="102"/>
      <c r="J78" s="102"/>
      <c r="K78" s="102"/>
      <c r="L78" s="102"/>
      <c r="M78" s="102"/>
      <c r="N78" s="35"/>
      <c r="O78" s="35"/>
      <c r="P78" s="35"/>
    </row>
    <row r="79" spans="2:16" ht="30" customHeight="1" x14ac:dyDescent="0.25">
      <c r="B79" s="194" t="s">
        <v>101</v>
      </c>
      <c r="C79" s="195" t="str">
        <f>C78</f>
        <v>EE</v>
      </c>
      <c r="D79" s="195" t="s">
        <v>68</v>
      </c>
      <c r="E79" s="179" t="e">
        <f>D41-E78</f>
        <v>#N/A</v>
      </c>
      <c r="F79" s="102"/>
      <c r="G79" s="102"/>
      <c r="H79" s="102"/>
      <c r="I79" s="102"/>
      <c r="J79" s="102"/>
      <c r="K79" s="102"/>
      <c r="L79" s="102"/>
      <c r="M79" s="102"/>
      <c r="N79" s="1156"/>
      <c r="O79" s="1156"/>
      <c r="P79" s="1156"/>
    </row>
    <row r="80" spans="2:16" ht="30" customHeight="1" thickBot="1" x14ac:dyDescent="0.3">
      <c r="B80" s="199" t="s">
        <v>108</v>
      </c>
      <c r="C80" s="200" t="str">
        <f>C78</f>
        <v>EE</v>
      </c>
      <c r="D80" s="200" t="s">
        <v>102</v>
      </c>
      <c r="E80" s="192" t="e">
        <f>E79/D41</f>
        <v>#N/A</v>
      </c>
      <c r="F80" s="102"/>
      <c r="G80" s="102"/>
      <c r="H80" s="39" t="s">
        <v>294</v>
      </c>
      <c r="I80" s="102"/>
      <c r="J80" s="102"/>
      <c r="K80" s="102"/>
      <c r="L80" s="102"/>
      <c r="M80" s="102"/>
      <c r="N80" s="35"/>
      <c r="O80" s="35"/>
      <c r="P80" s="35"/>
    </row>
    <row r="81" spans="2:16" ht="15.75" thickBot="1" x14ac:dyDescent="0.3">
      <c r="B81" s="193"/>
      <c r="C81" s="193"/>
      <c r="D81" s="193"/>
      <c r="E81" s="193"/>
      <c r="F81" s="102"/>
      <c r="G81" s="102"/>
      <c r="H81" s="102" t="s">
        <v>333</v>
      </c>
      <c r="I81" s="102"/>
      <c r="J81" s="102"/>
      <c r="K81" s="102"/>
      <c r="L81" s="102"/>
      <c r="M81" s="102"/>
      <c r="N81" s="35"/>
      <c r="O81" s="35"/>
      <c r="P81" s="35"/>
    </row>
    <row r="82" spans="2:16" ht="15.75" thickBot="1" x14ac:dyDescent="0.3">
      <c r="B82" s="520" t="s">
        <v>71</v>
      </c>
      <c r="C82" s="521"/>
      <c r="D82" s="521"/>
      <c r="E82" s="522"/>
      <c r="F82" s="102"/>
      <c r="G82" s="102"/>
      <c r="H82" s="504" t="s">
        <v>332</v>
      </c>
      <c r="I82" s="501" t="s">
        <v>63</v>
      </c>
      <c r="J82" s="505" t="s">
        <v>113</v>
      </c>
      <c r="K82" s="505" t="s">
        <v>114</v>
      </c>
      <c r="L82" s="505" t="s">
        <v>115</v>
      </c>
      <c r="M82" s="717" t="s">
        <v>382</v>
      </c>
      <c r="N82" s="745" t="s">
        <v>296</v>
      </c>
      <c r="O82" s="35"/>
      <c r="P82" s="35"/>
    </row>
    <row r="83" spans="2:16" ht="23.25" customHeight="1" x14ac:dyDescent="0.25">
      <c r="B83" s="513" t="s">
        <v>109</v>
      </c>
      <c r="C83" s="514"/>
      <c r="D83" s="201" t="s">
        <v>68</v>
      </c>
      <c r="E83" s="744">
        <v>0</v>
      </c>
      <c r="F83" s="102"/>
      <c r="G83" s="102"/>
      <c r="H83" s="487" t="s">
        <v>94</v>
      </c>
      <c r="I83" s="507" t="s">
        <v>35</v>
      </c>
      <c r="J83" s="771" t="e">
        <v>#N/A</v>
      </c>
      <c r="K83" s="771" t="e">
        <v>#N/A</v>
      </c>
      <c r="L83" s="771" t="e">
        <v>#N/A</v>
      </c>
      <c r="M83" s="772" t="e">
        <v>#N/A</v>
      </c>
      <c r="N83" s="767" t="e">
        <f>J83+K83+L83+M83</f>
        <v>#N/A</v>
      </c>
      <c r="O83" s="35"/>
      <c r="P83" s="35"/>
    </row>
    <row r="84" spans="2:16" ht="15" customHeight="1" x14ac:dyDescent="0.25">
      <c r="B84" s="513" t="s">
        <v>110</v>
      </c>
      <c r="C84" s="514"/>
      <c r="D84" s="201" t="s">
        <v>68</v>
      </c>
      <c r="E84" s="179" t="e">
        <f>D43-E83</f>
        <v>#N/A</v>
      </c>
      <c r="F84" s="102"/>
      <c r="G84" s="102"/>
      <c r="H84" s="171" t="s">
        <v>98</v>
      </c>
      <c r="I84" s="526" t="s">
        <v>99</v>
      </c>
      <c r="J84" s="773" t="e">
        <v>#N/A</v>
      </c>
      <c r="K84" s="773" t="e">
        <v>#N/A</v>
      </c>
      <c r="L84" s="773" t="e">
        <v>#N/A</v>
      </c>
      <c r="M84" s="774" t="e">
        <v>#N/A</v>
      </c>
      <c r="N84" s="84" t="e">
        <f>J84+K84+L84+M84</f>
        <v>#N/A</v>
      </c>
      <c r="O84" s="35"/>
      <c r="P84" s="35"/>
    </row>
    <row r="85" spans="2:16" ht="27" thickBot="1" x14ac:dyDescent="0.3">
      <c r="B85" s="515" t="s">
        <v>111</v>
      </c>
      <c r="C85" s="516"/>
      <c r="D85" s="202" t="s">
        <v>102</v>
      </c>
      <c r="E85" s="192" t="e">
        <f>E84/D43</f>
        <v>#N/A</v>
      </c>
      <c r="F85" s="102"/>
      <c r="G85" s="102"/>
      <c r="H85" s="204" t="s">
        <v>100</v>
      </c>
      <c r="I85" s="533"/>
      <c r="J85" s="775"/>
      <c r="K85" s="775"/>
      <c r="L85" s="775"/>
      <c r="M85" s="716"/>
      <c r="N85" s="510"/>
      <c r="O85" s="35"/>
      <c r="P85" s="35"/>
    </row>
    <row r="86" spans="2:16" ht="15.75" thickBot="1" x14ac:dyDescent="0.3">
      <c r="B86" s="193"/>
      <c r="C86" s="193"/>
      <c r="D86" s="193"/>
      <c r="E86" s="193"/>
      <c r="F86" s="102"/>
      <c r="G86" s="102"/>
      <c r="H86" s="768" t="s">
        <v>397</v>
      </c>
      <c r="I86" s="769"/>
      <c r="J86" s="770" t="e">
        <f>SUM(J83:J85)</f>
        <v>#N/A</v>
      </c>
      <c r="K86" s="770" t="e">
        <f>SUM(K83:K85)</f>
        <v>#N/A</v>
      </c>
      <c r="L86" s="770" t="e">
        <f>SUM(L83:L85)</f>
        <v>#N/A</v>
      </c>
      <c r="M86" s="770" t="e">
        <f>SUM(M83:M85)</f>
        <v>#N/A</v>
      </c>
      <c r="N86" s="778" t="e">
        <f>SUM(N83:N85)</f>
        <v>#N/A</v>
      </c>
      <c r="O86" s="35"/>
      <c r="P86" s="35"/>
    </row>
    <row r="87" spans="2:16" ht="25.5" customHeight="1" thickBot="1" x14ac:dyDescent="0.3">
      <c r="B87" s="523" t="s">
        <v>112</v>
      </c>
      <c r="C87" s="524"/>
      <c r="D87" s="524"/>
      <c r="E87" s="525"/>
      <c r="F87" s="102"/>
      <c r="G87" s="102"/>
      <c r="H87" s="506" t="s">
        <v>390</v>
      </c>
      <c r="I87" s="766" t="s">
        <v>62</v>
      </c>
      <c r="J87" s="776" t="e">
        <v>#N/A</v>
      </c>
      <c r="K87" s="776" t="e">
        <v>#N/A</v>
      </c>
      <c r="L87" s="776" t="e">
        <v>#N/A</v>
      </c>
      <c r="M87" s="777" t="e">
        <v>#N/A</v>
      </c>
      <c r="N87" s="511" t="e">
        <f>J87+K87+L87+M87</f>
        <v>#N/A</v>
      </c>
      <c r="O87" s="35"/>
      <c r="P87" s="35"/>
    </row>
    <row r="88" spans="2:16" ht="15" customHeight="1" thickBot="1" x14ac:dyDescent="0.3">
      <c r="B88" s="64" t="s">
        <v>116</v>
      </c>
      <c r="C88" s="63"/>
      <c r="D88" s="21" t="s">
        <v>68</v>
      </c>
      <c r="E88" s="65" t="e">
        <f>E71+E79+E84</f>
        <v>#N/A</v>
      </c>
      <c r="F88" s="102"/>
      <c r="G88" s="102"/>
      <c r="N88" s="35"/>
      <c r="O88" s="35"/>
      <c r="P88" s="35"/>
    </row>
    <row r="89" spans="2:16" ht="15" customHeight="1" x14ac:dyDescent="0.25">
      <c r="B89" s="59" t="s">
        <v>117</v>
      </c>
      <c r="C89" s="60"/>
      <c r="D89" s="21" t="s">
        <v>102</v>
      </c>
      <c r="E89" s="98" t="e">
        <f>E88/D46</f>
        <v>#N/A</v>
      </c>
      <c r="F89" s="102"/>
      <c r="G89" s="102"/>
      <c r="H89" s="20" t="s">
        <v>119</v>
      </c>
      <c r="I89" s="205" t="s">
        <v>120</v>
      </c>
      <c r="J89" s="205" t="s">
        <v>300</v>
      </c>
      <c r="K89" s="206" t="s">
        <v>240</v>
      </c>
      <c r="L89" s="206" t="s">
        <v>296</v>
      </c>
      <c r="N89" s="35"/>
      <c r="O89" s="35"/>
      <c r="P89" s="35"/>
    </row>
    <row r="90" spans="2:16" ht="15" customHeight="1" thickBot="1" x14ac:dyDescent="0.3">
      <c r="B90" s="61" t="s">
        <v>118</v>
      </c>
      <c r="C90" s="62"/>
      <c r="D90" s="22" t="s">
        <v>68</v>
      </c>
      <c r="E90" s="31" t="e">
        <f>J72</f>
        <v>#N/A</v>
      </c>
      <c r="F90" s="102"/>
      <c r="G90" s="102"/>
      <c r="H90" s="207" t="s">
        <v>43</v>
      </c>
      <c r="I90" s="124" t="e">
        <v>#N/A</v>
      </c>
      <c r="J90" s="124" t="e">
        <v>#N/A</v>
      </c>
      <c r="K90" s="125" t="e">
        <v>#N/A</v>
      </c>
      <c r="L90" s="512" t="e">
        <f>I90+J90+K90</f>
        <v>#N/A</v>
      </c>
      <c r="M90" s="35"/>
      <c r="N90" s="35"/>
      <c r="O90" s="534"/>
      <c r="P90" s="35"/>
    </row>
    <row r="91" spans="2:16" ht="15" customHeight="1" x14ac:dyDescent="0.25">
      <c r="B91" s="102"/>
      <c r="C91" s="102"/>
      <c r="D91" s="102"/>
      <c r="E91" s="102"/>
      <c r="F91" s="102"/>
      <c r="G91" s="102"/>
      <c r="H91" s="35"/>
      <c r="I91" s="35"/>
      <c r="J91" s="35"/>
      <c r="K91" s="35"/>
      <c r="L91" s="35"/>
      <c r="M91" s="35"/>
      <c r="N91" s="35"/>
      <c r="O91" s="35"/>
      <c r="P91" s="35"/>
    </row>
    <row r="92" spans="2:16" ht="15" x14ac:dyDescent="0.25">
      <c r="B92" s="102"/>
      <c r="C92" s="102"/>
      <c r="D92" s="102"/>
      <c r="E92" s="102"/>
      <c r="F92" s="102"/>
      <c r="G92" s="102"/>
      <c r="H92" s="102"/>
      <c r="I92" s="102"/>
      <c r="J92" s="102"/>
      <c r="K92" s="102"/>
      <c r="L92" s="102"/>
      <c r="M92" s="102"/>
      <c r="N92" s="35"/>
      <c r="O92" s="35"/>
      <c r="P92" s="35"/>
    </row>
    <row r="93" spans="2:16" ht="25.5" customHeight="1" x14ac:dyDescent="0.25">
      <c r="B93" s="102"/>
      <c r="C93" s="102"/>
      <c r="D93" s="102"/>
      <c r="E93" s="102"/>
      <c r="F93" s="102"/>
      <c r="G93" s="102"/>
      <c r="H93" s="102"/>
      <c r="I93" s="102"/>
      <c r="J93" s="102"/>
      <c r="K93" s="102"/>
      <c r="L93" s="102"/>
      <c r="M93" s="102"/>
      <c r="N93" s="35"/>
      <c r="O93" s="35"/>
      <c r="P93" s="35"/>
    </row>
    <row r="94" spans="2:16" ht="15" x14ac:dyDescent="0.25">
      <c r="B94" s="102"/>
      <c r="C94" s="102"/>
      <c r="D94" s="102"/>
      <c r="E94" s="102"/>
      <c r="F94" s="102"/>
      <c r="G94" s="102"/>
      <c r="H94" s="102"/>
      <c r="I94" s="102"/>
      <c r="J94" s="102"/>
      <c r="K94" s="102"/>
      <c r="L94" s="102"/>
      <c r="M94" s="102"/>
      <c r="N94" s="35"/>
      <c r="O94" s="35"/>
      <c r="P94" s="35"/>
    </row>
    <row r="95" spans="2:16" ht="15" x14ac:dyDescent="0.25">
      <c r="B95" s="102"/>
      <c r="C95" s="102"/>
      <c r="D95" s="102"/>
      <c r="E95" s="102"/>
      <c r="F95" s="102"/>
      <c r="G95" s="102"/>
      <c r="H95" s="102"/>
      <c r="I95" s="102"/>
      <c r="J95" s="102"/>
      <c r="K95" s="102"/>
      <c r="L95" s="102"/>
      <c r="M95" s="102"/>
      <c r="N95" s="35"/>
      <c r="O95" s="35"/>
      <c r="P95" s="35"/>
    </row>
    <row r="96" spans="2:16" ht="15" x14ac:dyDescent="0.25">
      <c r="B96" s="102"/>
      <c r="C96" s="102"/>
      <c r="D96" s="102"/>
      <c r="E96" s="102"/>
      <c r="F96" s="102"/>
      <c r="G96" s="102"/>
      <c r="H96" s="102"/>
      <c r="I96" s="102"/>
      <c r="J96" s="102"/>
      <c r="K96" s="102"/>
      <c r="L96" s="102"/>
      <c r="M96" s="102"/>
      <c r="N96" s="35"/>
      <c r="O96" s="35"/>
      <c r="P96" s="35"/>
    </row>
    <row r="97" spans="2:16" ht="15" x14ac:dyDescent="0.25">
      <c r="B97" s="102"/>
      <c r="C97" s="102"/>
      <c r="D97" s="102"/>
      <c r="E97" s="102"/>
      <c r="F97" s="102"/>
      <c r="G97" s="102"/>
      <c r="H97" s="102"/>
      <c r="I97" s="102"/>
      <c r="J97" s="102"/>
      <c r="K97" s="102"/>
      <c r="L97" s="102"/>
      <c r="M97" s="102"/>
      <c r="N97" s="1156"/>
      <c r="O97" s="1156"/>
      <c r="P97" s="35"/>
    </row>
    <row r="98" spans="2:16" ht="15" x14ac:dyDescent="0.25">
      <c r="B98" s="102"/>
      <c r="C98" s="102"/>
      <c r="D98" s="102"/>
      <c r="E98" s="102"/>
      <c r="F98" s="102"/>
      <c r="G98" s="102"/>
      <c r="H98" s="102"/>
      <c r="I98" s="102"/>
      <c r="J98" s="102"/>
      <c r="K98" s="102"/>
      <c r="L98" s="102"/>
      <c r="M98" s="102"/>
      <c r="N98" s="1156"/>
      <c r="O98" s="1156"/>
      <c r="P98" s="1156"/>
    </row>
    <row r="99" spans="2:16" ht="15" x14ac:dyDescent="0.25">
      <c r="B99" s="102"/>
      <c r="C99" s="102"/>
      <c r="D99" s="102"/>
      <c r="E99" s="102"/>
      <c r="F99" s="102"/>
      <c r="G99" s="102"/>
      <c r="H99" s="102"/>
      <c r="I99" s="102"/>
      <c r="J99" s="102"/>
      <c r="K99" s="102"/>
      <c r="L99" s="102"/>
      <c r="M99" s="102"/>
      <c r="N99" s="35"/>
      <c r="O99" s="35"/>
      <c r="P99" s="35"/>
    </row>
    <row r="100" spans="2:16" ht="15.75" x14ac:dyDescent="0.25">
      <c r="B100" s="39" t="s">
        <v>305</v>
      </c>
      <c r="C100" s="102"/>
      <c r="D100" s="542"/>
      <c r="E100" s="102"/>
      <c r="F100" s="102"/>
      <c r="G100" s="102"/>
      <c r="H100" s="102"/>
      <c r="I100" s="102"/>
      <c r="J100" s="102"/>
      <c r="K100" s="102"/>
      <c r="L100" s="102"/>
      <c r="M100" s="102"/>
      <c r="N100" s="35"/>
      <c r="O100" s="35"/>
      <c r="P100" s="35"/>
    </row>
    <row r="101" spans="2:16" ht="15.75" x14ac:dyDescent="0.25">
      <c r="B101" s="39"/>
      <c r="C101" s="102"/>
      <c r="D101" s="102"/>
      <c r="E101" s="102"/>
      <c r="F101" s="102"/>
      <c r="G101" s="102"/>
      <c r="H101" s="102"/>
      <c r="I101" s="102"/>
      <c r="J101" s="102"/>
      <c r="K101" s="102"/>
      <c r="L101" s="102"/>
      <c r="M101" s="102"/>
      <c r="N101" s="35"/>
      <c r="O101" s="35"/>
      <c r="P101" s="35"/>
    </row>
    <row r="102" spans="2:16" ht="16.5" thickBot="1" x14ac:dyDescent="0.3">
      <c r="B102" s="603" t="s">
        <v>295</v>
      </c>
      <c r="C102" s="102"/>
      <c r="D102" s="102"/>
      <c r="E102" s="102"/>
      <c r="F102" s="102"/>
      <c r="G102" s="102"/>
      <c r="H102" s="102"/>
      <c r="I102" s="102"/>
      <c r="J102" s="102"/>
      <c r="K102" s="102"/>
      <c r="L102" s="102"/>
      <c r="M102" s="102"/>
      <c r="N102" s="35"/>
      <c r="O102" s="35"/>
      <c r="P102" s="35"/>
    </row>
    <row r="103" spans="2:16" ht="38.25" x14ac:dyDescent="0.25">
      <c r="B103" s="604" t="s">
        <v>302</v>
      </c>
      <c r="C103" s="605" t="s">
        <v>437</v>
      </c>
      <c r="D103" s="605" t="s">
        <v>122</v>
      </c>
      <c r="E103" s="606" t="s">
        <v>297</v>
      </c>
      <c r="F103" s="606" t="s">
        <v>298</v>
      </c>
      <c r="G103" s="102"/>
      <c r="H103" s="102"/>
      <c r="I103" s="102"/>
      <c r="J103" s="102"/>
      <c r="K103" s="102"/>
      <c r="L103" s="102"/>
      <c r="M103" s="102"/>
      <c r="N103" s="35"/>
      <c r="O103" s="35"/>
      <c r="P103" s="35"/>
    </row>
    <row r="104" spans="2:16" ht="15" x14ac:dyDescent="0.25">
      <c r="B104" s="607" t="s">
        <v>295</v>
      </c>
      <c r="C104" s="608" t="e">
        <v>#N/A</v>
      </c>
      <c r="D104" s="609">
        <v>5088</v>
      </c>
      <c r="E104" s="610" t="e">
        <f>C104*D104</f>
        <v>#N/A</v>
      </c>
      <c r="F104" s="610" t="e">
        <f>E104*$D$12/$D$19</f>
        <v>#N/A</v>
      </c>
      <c r="G104" s="102"/>
      <c r="H104" s="102"/>
      <c r="I104" s="102"/>
      <c r="J104" s="102"/>
      <c r="K104" s="102"/>
      <c r="L104" s="102"/>
      <c r="M104" s="102"/>
      <c r="N104" s="35"/>
      <c r="O104" s="35"/>
      <c r="P104" s="35"/>
    </row>
    <row r="105" spans="2:16" ht="15" x14ac:dyDescent="0.25">
      <c r="B105" s="607"/>
      <c r="C105" s="611"/>
      <c r="D105" s="609"/>
      <c r="E105" s="610"/>
      <c r="F105" s="610"/>
      <c r="G105" s="102"/>
      <c r="H105" s="102"/>
      <c r="I105" s="102"/>
      <c r="J105" s="102"/>
      <c r="K105" s="102"/>
      <c r="L105" s="102"/>
      <c r="M105" s="102"/>
      <c r="N105" s="35"/>
      <c r="O105" s="35"/>
      <c r="P105" s="35"/>
    </row>
    <row r="106" spans="2:16" ht="38.25" x14ac:dyDescent="0.25">
      <c r="B106" s="612" t="s">
        <v>299</v>
      </c>
      <c r="C106" s="1061" t="s">
        <v>437</v>
      </c>
      <c r="D106" s="148" t="s">
        <v>122</v>
      </c>
      <c r="E106" s="613" t="s">
        <v>297</v>
      </c>
      <c r="F106" s="613" t="s">
        <v>298</v>
      </c>
      <c r="G106" s="102"/>
      <c r="H106" s="102"/>
      <c r="I106" s="102"/>
      <c r="J106" s="102"/>
      <c r="K106" s="102"/>
      <c r="L106" s="544"/>
      <c r="M106" s="545"/>
      <c r="N106" s="35"/>
      <c r="O106" s="35"/>
      <c r="P106" s="35"/>
    </row>
    <row r="107" spans="2:16" ht="15" x14ac:dyDescent="0.25">
      <c r="B107" s="607" t="s">
        <v>295</v>
      </c>
      <c r="C107" s="608" t="e">
        <v>#N/A</v>
      </c>
      <c r="D107" s="609">
        <f>D104</f>
        <v>5088</v>
      </c>
      <c r="E107" s="610" t="e">
        <f>C107*D107</f>
        <v>#N/A</v>
      </c>
      <c r="F107" s="610" t="e">
        <f>$L$83+$L$84</f>
        <v>#N/A</v>
      </c>
      <c r="G107" s="102"/>
      <c r="H107" s="614"/>
      <c r="I107" s="535"/>
      <c r="J107" s="102"/>
      <c r="K107" s="102"/>
      <c r="L107" s="543"/>
      <c r="M107" s="102"/>
      <c r="N107" s="35"/>
      <c r="O107" s="35"/>
      <c r="P107" s="35"/>
    </row>
    <row r="108" spans="2:16" ht="15" x14ac:dyDescent="0.25">
      <c r="B108" s="607"/>
      <c r="C108" s="611"/>
      <c r="D108" s="609"/>
      <c r="E108" s="610"/>
      <c r="F108" s="610"/>
      <c r="G108" s="102"/>
      <c r="H108" s="102"/>
      <c r="I108" s="102"/>
      <c r="J108" s="102"/>
      <c r="K108" s="102"/>
      <c r="L108" s="102"/>
      <c r="M108" s="102"/>
      <c r="N108" s="35"/>
      <c r="O108" s="35"/>
      <c r="P108" s="35"/>
    </row>
    <row r="109" spans="2:16" ht="51" x14ac:dyDescent="0.25">
      <c r="B109" s="612" t="s">
        <v>96</v>
      </c>
      <c r="C109" s="1157"/>
      <c r="D109" s="1158"/>
      <c r="E109" s="613" t="s">
        <v>319</v>
      </c>
      <c r="F109" s="613" t="s">
        <v>320</v>
      </c>
      <c r="G109" s="102"/>
      <c r="H109" s="102"/>
      <c r="I109" s="102"/>
      <c r="J109" s="102"/>
      <c r="K109" s="102"/>
      <c r="L109" s="102"/>
      <c r="M109" s="102"/>
      <c r="N109" s="35"/>
      <c r="O109" s="35"/>
      <c r="P109" s="35"/>
    </row>
    <row r="110" spans="2:16" ht="15" x14ac:dyDescent="0.25">
      <c r="B110" s="607" t="s">
        <v>295</v>
      </c>
      <c r="C110" s="1159"/>
      <c r="D110" s="1160"/>
      <c r="E110" s="610" t="e">
        <f>E104-E107</f>
        <v>#N/A</v>
      </c>
      <c r="F110" s="610" t="e">
        <f>F104-F107</f>
        <v>#N/A</v>
      </c>
      <c r="G110" s="102"/>
      <c r="H110" s="102"/>
      <c r="I110" s="102"/>
      <c r="J110" s="102"/>
      <c r="K110" s="102"/>
      <c r="L110" s="102"/>
      <c r="M110" s="102"/>
      <c r="N110" s="35"/>
      <c r="O110" s="35"/>
      <c r="P110" s="35"/>
    </row>
    <row r="111" spans="2:16" ht="15.75" thickBot="1" x14ac:dyDescent="0.3">
      <c r="B111" s="615"/>
      <c r="C111" s="1161"/>
      <c r="D111" s="1162"/>
      <c r="E111" s="616"/>
      <c r="F111" s="616"/>
      <c r="G111" s="102"/>
      <c r="H111" s="102"/>
      <c r="I111" s="102"/>
      <c r="J111" s="102"/>
      <c r="K111" s="102"/>
      <c r="L111" s="102"/>
      <c r="M111" s="102"/>
      <c r="N111" s="35"/>
      <c r="O111" s="35"/>
      <c r="P111" s="35"/>
    </row>
    <row r="112" spans="2:16" ht="15" x14ac:dyDescent="0.25">
      <c r="B112" s="617"/>
      <c r="C112" s="617"/>
      <c r="D112" s="102"/>
      <c r="E112" s="102"/>
      <c r="F112" s="102"/>
      <c r="G112" s="102"/>
      <c r="H112" s="102"/>
      <c r="I112" s="102"/>
      <c r="J112" s="102"/>
      <c r="K112" s="102"/>
      <c r="L112" s="102"/>
      <c r="M112" s="102"/>
      <c r="N112" s="35"/>
      <c r="O112" s="35"/>
      <c r="P112" s="35"/>
    </row>
    <row r="113" spans="2:16" ht="15.75" x14ac:dyDescent="0.25">
      <c r="B113" s="603"/>
      <c r="C113" s="102"/>
      <c r="D113" s="102"/>
      <c r="E113" s="102"/>
      <c r="F113" s="102"/>
      <c r="G113" s="102"/>
      <c r="H113" s="102"/>
      <c r="I113" s="102"/>
      <c r="J113" s="102"/>
      <c r="K113" s="102"/>
      <c r="L113" s="102"/>
      <c r="M113" s="102"/>
      <c r="N113" s="35"/>
      <c r="O113" s="35"/>
      <c r="P113" s="35"/>
    </row>
    <row r="114" spans="2:16" ht="15.75" x14ac:dyDescent="0.25">
      <c r="B114" s="603"/>
      <c r="C114" s="102"/>
      <c r="D114" s="102"/>
      <c r="E114" s="102"/>
      <c r="F114" s="102"/>
      <c r="G114" s="102"/>
      <c r="H114" s="102"/>
      <c r="I114" s="102"/>
      <c r="J114" s="102"/>
      <c r="K114" s="102"/>
      <c r="L114" s="102"/>
      <c r="M114" s="102"/>
      <c r="N114" s="35"/>
      <c r="O114" s="35"/>
      <c r="P114" s="35"/>
    </row>
    <row r="115" spans="2:16" ht="21.75" customHeight="1" thickBot="1" x14ac:dyDescent="0.25">
      <c r="B115" s="603" t="s">
        <v>120</v>
      </c>
      <c r="C115" s="102"/>
      <c r="D115" s="102"/>
      <c r="E115" s="102"/>
      <c r="F115" s="102"/>
      <c r="G115" s="102"/>
      <c r="H115" s="102"/>
      <c r="I115" s="102"/>
      <c r="J115" s="102"/>
      <c r="K115" s="102"/>
      <c r="L115" s="102"/>
      <c r="M115" s="102"/>
      <c r="N115" s="102"/>
      <c r="O115" s="102"/>
      <c r="P115" s="102"/>
    </row>
    <row r="116" spans="2:16" ht="38.25" x14ac:dyDescent="0.2">
      <c r="B116" s="604" t="s">
        <v>302</v>
      </c>
      <c r="C116" s="605" t="s">
        <v>437</v>
      </c>
      <c r="D116" s="605" t="s">
        <v>122</v>
      </c>
      <c r="E116" s="606" t="s">
        <v>301</v>
      </c>
      <c r="F116" s="102"/>
      <c r="G116" s="102"/>
      <c r="H116" s="102"/>
      <c r="I116" s="102"/>
      <c r="J116" s="102"/>
      <c r="K116" s="102"/>
      <c r="L116" s="102"/>
      <c r="M116" s="102"/>
      <c r="N116" s="102"/>
      <c r="O116" s="102"/>
      <c r="P116" s="102"/>
    </row>
    <row r="117" spans="2:16" x14ac:dyDescent="0.2">
      <c r="B117" s="607" t="s">
        <v>123</v>
      </c>
      <c r="C117" s="608" t="e">
        <v>#N/A</v>
      </c>
      <c r="D117" s="609">
        <v>5000</v>
      </c>
      <c r="E117" s="610" t="e">
        <f>C117*D117</f>
        <v>#N/A</v>
      </c>
      <c r="F117" s="102"/>
      <c r="G117" s="102"/>
      <c r="H117" s="102"/>
      <c r="I117" s="102"/>
      <c r="J117" s="102"/>
      <c r="K117" s="102"/>
      <c r="L117" s="102"/>
      <c r="M117" s="102"/>
      <c r="N117" s="102"/>
      <c r="O117" s="102"/>
      <c r="P117" s="102"/>
    </row>
    <row r="118" spans="2:16" x14ac:dyDescent="0.2">
      <c r="B118" s="607"/>
      <c r="C118" s="611"/>
      <c r="D118" s="609"/>
      <c r="E118" s="610"/>
      <c r="F118" s="102"/>
      <c r="G118" s="102"/>
      <c r="H118" s="102"/>
      <c r="I118" s="102"/>
      <c r="J118" s="102"/>
      <c r="K118" s="102"/>
      <c r="L118" s="102"/>
      <c r="M118" s="102"/>
      <c r="N118" s="102"/>
      <c r="O118" s="102"/>
      <c r="P118" s="102"/>
    </row>
    <row r="119" spans="2:16" ht="38.25" x14ac:dyDescent="0.2">
      <c r="B119" s="612" t="s">
        <v>124</v>
      </c>
      <c r="C119" s="1061" t="s">
        <v>437</v>
      </c>
      <c r="D119" s="148" t="s">
        <v>122</v>
      </c>
      <c r="E119" s="613" t="s">
        <v>301</v>
      </c>
      <c r="F119" s="102"/>
      <c r="G119" s="102"/>
      <c r="H119" s="102"/>
      <c r="I119" s="102"/>
      <c r="J119" s="102"/>
      <c r="K119" s="102"/>
      <c r="L119" s="102"/>
      <c r="M119" s="102"/>
      <c r="N119" s="102"/>
      <c r="O119" s="102"/>
      <c r="P119" s="102"/>
    </row>
    <row r="120" spans="2:16" x14ac:dyDescent="0.2">
      <c r="B120" s="607" t="s">
        <v>123</v>
      </c>
      <c r="C120" s="608" t="e">
        <v>#N/A</v>
      </c>
      <c r="D120" s="609">
        <f>D117</f>
        <v>5000</v>
      </c>
      <c r="E120" s="610" t="e">
        <f>C120*D120</f>
        <v>#N/A</v>
      </c>
      <c r="F120" s="102"/>
      <c r="G120" s="102"/>
      <c r="H120" s="552"/>
      <c r="I120" s="102"/>
      <c r="J120" s="102"/>
      <c r="K120" s="102"/>
      <c r="L120" s="102"/>
      <c r="M120" s="102"/>
      <c r="N120" s="102"/>
      <c r="O120" s="102"/>
      <c r="P120" s="102"/>
    </row>
    <row r="121" spans="2:16" x14ac:dyDescent="0.2">
      <c r="B121" s="607"/>
      <c r="C121" s="611"/>
      <c r="D121" s="609"/>
      <c r="E121" s="610"/>
      <c r="F121" s="102"/>
      <c r="G121" s="102"/>
      <c r="H121" s="102"/>
      <c r="I121" s="102"/>
      <c r="J121" s="102"/>
      <c r="K121" s="102"/>
      <c r="L121" s="102"/>
      <c r="M121" s="102"/>
      <c r="N121" s="102"/>
      <c r="O121" s="102"/>
      <c r="P121" s="102"/>
    </row>
    <row r="122" spans="2:16" ht="25.5" x14ac:dyDescent="0.2">
      <c r="B122" s="612" t="s">
        <v>96</v>
      </c>
      <c r="C122" s="1157"/>
      <c r="D122" s="1158"/>
      <c r="E122" s="168" t="s">
        <v>125</v>
      </c>
      <c r="F122" s="102"/>
      <c r="G122" s="102"/>
      <c r="H122" s="102"/>
      <c r="I122" s="102"/>
      <c r="J122" s="102"/>
      <c r="K122" s="102"/>
      <c r="L122" s="102"/>
      <c r="M122" s="102"/>
      <c r="N122" s="102"/>
      <c r="O122" s="102"/>
      <c r="P122" s="102"/>
    </row>
    <row r="123" spans="2:16" x14ac:dyDescent="0.2">
      <c r="B123" s="607" t="s">
        <v>123</v>
      </c>
      <c r="C123" s="1159"/>
      <c r="D123" s="1160"/>
      <c r="E123" s="610" t="e">
        <f>E117-E120</f>
        <v>#N/A</v>
      </c>
      <c r="F123" s="102"/>
      <c r="G123" s="102"/>
      <c r="H123" s="102"/>
      <c r="I123" s="102"/>
      <c r="J123" s="102"/>
      <c r="K123" s="102"/>
      <c r="L123" s="102"/>
      <c r="M123" s="102"/>
      <c r="N123" s="102"/>
      <c r="O123" s="102"/>
      <c r="P123" s="102"/>
    </row>
    <row r="124" spans="2:16" ht="13.5" thickBot="1" x14ac:dyDescent="0.25">
      <c r="B124" s="615"/>
      <c r="C124" s="1161"/>
      <c r="D124" s="1162"/>
      <c r="E124" s="616"/>
      <c r="F124" s="102"/>
      <c r="G124" s="102"/>
      <c r="H124" s="102"/>
      <c r="I124" s="102"/>
      <c r="J124" s="102"/>
      <c r="K124" s="102"/>
      <c r="L124" s="102"/>
      <c r="M124" s="102"/>
      <c r="N124" s="102"/>
      <c r="O124" s="102"/>
      <c r="P124" s="102"/>
    </row>
    <row r="125" spans="2:16" x14ac:dyDescent="0.2">
      <c r="B125" s="617"/>
      <c r="C125" s="617"/>
      <c r="D125" s="617"/>
      <c r="E125" s="102"/>
      <c r="F125" s="102"/>
      <c r="G125" s="102"/>
      <c r="H125" s="102"/>
      <c r="I125" s="102"/>
      <c r="J125" s="102"/>
      <c r="K125" s="102"/>
      <c r="L125" s="102"/>
      <c r="M125" s="102"/>
      <c r="N125" s="102"/>
      <c r="O125" s="102"/>
      <c r="P125" s="102"/>
    </row>
    <row r="126" spans="2:16" x14ac:dyDescent="0.2">
      <c r="B126" s="102"/>
      <c r="C126" s="102"/>
      <c r="D126" s="102"/>
      <c r="E126" s="102"/>
      <c r="F126" s="102"/>
      <c r="G126" s="102"/>
      <c r="H126" s="102"/>
    </row>
    <row r="127" spans="2:16" x14ac:dyDescent="0.2">
      <c r="B127" s="102"/>
      <c r="C127" s="102"/>
      <c r="D127" s="102"/>
      <c r="E127" s="102"/>
      <c r="F127" s="102"/>
      <c r="G127" s="102"/>
      <c r="H127" s="102"/>
    </row>
    <row r="128" spans="2:16" ht="16.5" thickBot="1" x14ac:dyDescent="0.25">
      <c r="B128" s="603" t="s">
        <v>300</v>
      </c>
      <c r="C128" s="102"/>
      <c r="D128" s="102"/>
      <c r="E128" s="102"/>
      <c r="F128" s="102"/>
      <c r="G128" s="102"/>
      <c r="H128" s="102"/>
    </row>
    <row r="129" spans="2:8" ht="38.25" x14ac:dyDescent="0.2">
      <c r="B129" s="618" t="s">
        <v>302</v>
      </c>
      <c r="C129" s="619"/>
      <c r="D129" s="620"/>
      <c r="E129" s="606" t="s">
        <v>301</v>
      </c>
      <c r="F129" s="102"/>
      <c r="G129" s="102"/>
      <c r="H129" s="102"/>
    </row>
    <row r="130" spans="2:8" x14ac:dyDescent="0.2">
      <c r="B130" s="621" t="s">
        <v>300</v>
      </c>
      <c r="C130" s="622"/>
      <c r="D130" s="623"/>
      <c r="E130" s="624" t="e">
        <v>#N/A</v>
      </c>
      <c r="F130" s="102"/>
      <c r="G130" s="102"/>
      <c r="H130" s="102"/>
    </row>
    <row r="131" spans="2:8" x14ac:dyDescent="0.2">
      <c r="B131" s="621"/>
      <c r="C131" s="622"/>
      <c r="D131" s="623"/>
      <c r="E131" s="610"/>
      <c r="F131" s="102"/>
      <c r="G131" s="102"/>
      <c r="H131" s="102"/>
    </row>
    <row r="132" spans="2:8" ht="38.25" x14ac:dyDescent="0.2">
      <c r="B132" s="1027" t="s">
        <v>299</v>
      </c>
      <c r="C132" s="1028"/>
      <c r="D132" s="1029"/>
      <c r="E132" s="613" t="s">
        <v>301</v>
      </c>
      <c r="F132" s="102"/>
      <c r="G132" s="102"/>
      <c r="H132" s="102"/>
    </row>
    <row r="133" spans="2:8" x14ac:dyDescent="0.2">
      <c r="B133" s="621" t="s">
        <v>300</v>
      </c>
      <c r="C133" s="622"/>
      <c r="D133" s="623"/>
      <c r="E133" s="624" t="e">
        <v>#N/A</v>
      </c>
      <c r="F133" s="102"/>
      <c r="G133" s="102"/>
      <c r="H133" s="102"/>
    </row>
    <row r="134" spans="2:8" x14ac:dyDescent="0.2">
      <c r="B134" s="621"/>
      <c r="C134" s="622"/>
      <c r="D134" s="623"/>
      <c r="E134" s="610"/>
      <c r="F134" s="102"/>
      <c r="G134" s="102"/>
      <c r="H134" s="102"/>
    </row>
    <row r="135" spans="2:8" ht="25.5" x14ac:dyDescent="0.2">
      <c r="B135" s="1027" t="s">
        <v>96</v>
      </c>
      <c r="C135" s="1028"/>
      <c r="D135" s="1029"/>
      <c r="E135" s="168" t="s">
        <v>125</v>
      </c>
      <c r="F135" s="102"/>
      <c r="G135" s="102"/>
      <c r="H135" s="102"/>
    </row>
    <row r="136" spans="2:8" x14ac:dyDescent="0.2">
      <c r="B136" s="621" t="s">
        <v>300</v>
      </c>
      <c r="C136" s="622"/>
      <c r="D136" s="623"/>
      <c r="E136" s="610" t="e">
        <f>E130-E133</f>
        <v>#N/A</v>
      </c>
      <c r="F136" s="102"/>
      <c r="G136" s="102"/>
      <c r="H136" s="102"/>
    </row>
    <row r="137" spans="2:8" ht="13.5" thickBot="1" x14ac:dyDescent="0.25">
      <c r="B137" s="741"/>
      <c r="C137" s="743"/>
      <c r="D137" s="742"/>
      <c r="E137" s="616"/>
      <c r="F137" s="102"/>
      <c r="G137" s="102"/>
      <c r="H137" s="102"/>
    </row>
    <row r="138" spans="2:8" x14ac:dyDescent="0.2">
      <c r="B138" s="40"/>
      <c r="C138" s="40"/>
      <c r="D138" s="40"/>
    </row>
    <row r="141" spans="2:8" s="736" customFormat="1" ht="16.5" thickBot="1" x14ac:dyDescent="0.25">
      <c r="B141" s="734" t="s">
        <v>383</v>
      </c>
      <c r="C141" s="735"/>
      <c r="D141" s="735"/>
      <c r="E141" s="735"/>
    </row>
    <row r="142" spans="2:8" s="736" customFormat="1" ht="38.25" x14ac:dyDescent="0.2">
      <c r="B142" s="618" t="s">
        <v>302</v>
      </c>
      <c r="C142" s="619"/>
      <c r="D142" s="620"/>
      <c r="E142" s="737" t="s">
        <v>297</v>
      </c>
      <c r="F142" s="606" t="s">
        <v>298</v>
      </c>
    </row>
    <row r="143" spans="2:8" s="736" customFormat="1" x14ac:dyDescent="0.2">
      <c r="B143" s="621" t="s">
        <v>383</v>
      </c>
      <c r="C143" s="622"/>
      <c r="D143" s="623"/>
      <c r="E143" s="624">
        <f>'Referenčne količine'!D31</f>
        <v>0</v>
      </c>
      <c r="F143" s="610" t="e">
        <f>E143*$D$12/$D$19</f>
        <v>#N/A</v>
      </c>
    </row>
    <row r="144" spans="2:8" s="736" customFormat="1" x14ac:dyDescent="0.2">
      <c r="B144" s="621"/>
      <c r="C144" s="622"/>
      <c r="D144" s="623"/>
      <c r="E144" s="738"/>
      <c r="F144" s="610"/>
    </row>
    <row r="145" spans="2:6" s="736" customFormat="1" ht="38.25" x14ac:dyDescent="0.2">
      <c r="B145" s="1027" t="s">
        <v>299</v>
      </c>
      <c r="C145" s="1028"/>
      <c r="D145" s="1029"/>
      <c r="E145" s="739" t="s">
        <v>297</v>
      </c>
      <c r="F145" s="613" t="s">
        <v>298</v>
      </c>
    </row>
    <row r="146" spans="2:6" s="736" customFormat="1" x14ac:dyDescent="0.2">
      <c r="B146" s="621" t="s">
        <v>383</v>
      </c>
      <c r="C146" s="622"/>
      <c r="D146" s="623"/>
      <c r="E146" s="624" t="e">
        <f>M87</f>
        <v>#N/A</v>
      </c>
      <c r="F146" s="610" t="e">
        <f>$M$83+$M$84</f>
        <v>#N/A</v>
      </c>
    </row>
    <row r="147" spans="2:6" s="736" customFormat="1" x14ac:dyDescent="0.2">
      <c r="B147" s="621"/>
      <c r="C147" s="622"/>
      <c r="D147" s="623"/>
      <c r="E147" s="738"/>
      <c r="F147" s="610"/>
    </row>
    <row r="148" spans="2:6" s="736" customFormat="1" ht="51" x14ac:dyDescent="0.2">
      <c r="B148" s="1027" t="s">
        <v>96</v>
      </c>
      <c r="C148" s="1028"/>
      <c r="D148" s="1029"/>
      <c r="E148" s="739" t="s">
        <v>319</v>
      </c>
      <c r="F148" s="613" t="s">
        <v>320</v>
      </c>
    </row>
    <row r="149" spans="2:6" s="736" customFormat="1" x14ac:dyDescent="0.2">
      <c r="B149" s="621" t="s">
        <v>383</v>
      </c>
      <c r="C149" s="622"/>
      <c r="D149" s="623"/>
      <c r="E149" s="738" t="e">
        <f>E143-E146</f>
        <v>#N/A</v>
      </c>
      <c r="F149" s="610" t="e">
        <f>F143-F146</f>
        <v>#N/A</v>
      </c>
    </row>
    <row r="150" spans="2:6" s="736" customFormat="1" ht="13.5" thickBot="1" x14ac:dyDescent="0.25">
      <c r="B150" s="741"/>
      <c r="C150" s="743"/>
      <c r="D150" s="742"/>
      <c r="E150" s="740"/>
      <c r="F150" s="616"/>
    </row>
  </sheetData>
  <mergeCells count="16">
    <mergeCell ref="B6:C6"/>
    <mergeCell ref="B7:C7"/>
    <mergeCell ref="B8:C8"/>
    <mergeCell ref="H12:J12"/>
    <mergeCell ref="B55:E55"/>
    <mergeCell ref="H55:J55"/>
    <mergeCell ref="N97:O97"/>
    <mergeCell ref="N98:P98"/>
    <mergeCell ref="C109:D111"/>
    <mergeCell ref="C122:D124"/>
    <mergeCell ref="N55:P55"/>
    <mergeCell ref="N71:O71"/>
    <mergeCell ref="H72:I72"/>
    <mergeCell ref="N72:P72"/>
    <mergeCell ref="H73:J73"/>
    <mergeCell ref="N79:P79"/>
  </mergeCells>
  <pageMargins left="0.70866141732283472" right="0.70866141732283472" top="0.74803149606299213" bottom="0.74803149606299213" header="0.31496062992125984" footer="0.31496062992125984"/>
  <pageSetup paperSize="9" scale="29" orientation="portrait" r:id="rId1"/>
  <headerFooter>
    <oddHeader>&amp;LProgram izvajanja koncesije "Celovita energetska prenova 7 objektov UKC LJ"&amp;R&amp;A</oddHeader>
    <oddFooter>&amp;RStran &amp;P / &amp;N</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022B224-DBE6-4677-A735-1753AF1C71B8}">
          <x14:formula1>
            <xm:f>'Osnovni podatki'!$B$6:$B$9</xm:f>
          </x14:formula1>
          <xm:sqref>D6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L23"/>
  <sheetViews>
    <sheetView zoomScaleNormal="100" workbookViewId="0">
      <selection activeCell="H9" sqref="H9"/>
    </sheetView>
  </sheetViews>
  <sheetFormatPr defaultColWidth="9.140625" defaultRowHeight="12.75" x14ac:dyDescent="0.2"/>
  <cols>
    <col min="1" max="1" width="2.7109375" style="32" customWidth="1"/>
    <col min="2" max="2" width="49.42578125" style="32" customWidth="1"/>
    <col min="3" max="3" width="9.140625" style="32"/>
    <col min="4" max="4" width="14.5703125" style="32" bestFit="1" customWidth="1"/>
    <col min="5" max="6" width="15.140625" style="32" customWidth="1"/>
    <col min="7" max="7" width="14.7109375" style="32" bestFit="1" customWidth="1"/>
    <col min="8" max="8" width="15.7109375" style="32" bestFit="1" customWidth="1"/>
    <col min="9" max="9" width="2.7109375" style="32" customWidth="1"/>
    <col min="10" max="16384" width="9.140625" style="32"/>
  </cols>
  <sheetData>
    <row r="2" spans="2:12" ht="20.25" x14ac:dyDescent="0.2">
      <c r="B2" s="37" t="s">
        <v>6</v>
      </c>
      <c r="C2" s="102"/>
      <c r="D2" s="102"/>
      <c r="E2" s="102"/>
      <c r="F2" s="102"/>
      <c r="G2" s="102"/>
      <c r="H2" s="102"/>
      <c r="I2" s="102"/>
      <c r="J2" s="102"/>
      <c r="K2" s="102"/>
      <c r="L2" s="102"/>
    </row>
    <row r="3" spans="2:12" ht="13.5" thickBot="1" x14ac:dyDescent="0.25">
      <c r="B3" s="102"/>
      <c r="C3" s="102"/>
      <c r="D3" s="102"/>
      <c r="E3" s="102"/>
      <c r="F3" s="102"/>
      <c r="G3" s="102"/>
      <c r="H3" s="102"/>
      <c r="I3" s="102"/>
      <c r="J3" s="102"/>
      <c r="K3" s="102"/>
      <c r="L3" s="102"/>
    </row>
    <row r="4" spans="2:12" ht="15" customHeight="1" x14ac:dyDescent="0.2">
      <c r="B4" s="53" t="s">
        <v>4</v>
      </c>
      <c r="C4" s="54"/>
      <c r="D4" s="54"/>
      <c r="E4" s="54"/>
      <c r="F4" s="54"/>
      <c r="G4" s="57"/>
      <c r="H4" s="58"/>
      <c r="I4" s="102"/>
      <c r="J4" s="102"/>
      <c r="K4" s="102"/>
      <c r="L4" s="102"/>
    </row>
    <row r="5" spans="2:12" ht="15" customHeight="1" x14ac:dyDescent="0.2">
      <c r="B5" s="6" t="s">
        <v>51</v>
      </c>
      <c r="C5" s="1"/>
      <c r="D5" s="146">
        <v>1</v>
      </c>
      <c r="E5" s="123">
        <v>2</v>
      </c>
      <c r="F5" s="146">
        <v>3</v>
      </c>
      <c r="G5" s="211">
        <v>4</v>
      </c>
      <c r="H5" s="1179" t="s">
        <v>126</v>
      </c>
      <c r="I5" s="102"/>
      <c r="J5" s="102"/>
      <c r="K5" s="102"/>
      <c r="L5" s="102"/>
    </row>
    <row r="6" spans="2:12" ht="15" customHeight="1" x14ac:dyDescent="0.2">
      <c r="B6" s="6" t="s">
        <v>52</v>
      </c>
      <c r="C6" s="1"/>
      <c r="D6" s="146" t="str">
        <f>VLOOKUP(D$5,'Osnovni podatki'!$B$6:$I$9,2,FALSE)</f>
        <v>OB001</v>
      </c>
      <c r="E6" s="123" t="str">
        <f>VLOOKUP(E$5,'Osnovni podatki'!$B$6:$I$9,2,FALSE)</f>
        <v>OB002</v>
      </c>
      <c r="F6" s="146" t="str">
        <f>VLOOKUP(F$5,'Osnovni podatki'!$B$6:$I$9,2,FALSE)</f>
        <v>OB003</v>
      </c>
      <c r="G6" s="123" t="str">
        <f>VLOOKUP(G$5,'Osnovni podatki'!$B$6:$I$9,2,FALSE)</f>
        <v>OB004</v>
      </c>
      <c r="H6" s="1180"/>
      <c r="I6" s="102"/>
      <c r="J6" s="102"/>
      <c r="K6" s="102"/>
      <c r="L6" s="102"/>
    </row>
    <row r="7" spans="2:12" ht="26.25" thickBot="1" x14ac:dyDescent="0.25">
      <c r="B7" s="56" t="s">
        <v>53</v>
      </c>
      <c r="C7" s="55"/>
      <c r="D7" s="212" t="str">
        <f>VLOOKUP(D$5,'Osnovni podatki'!$B$6:$I$9,3,FALSE)</f>
        <v>POŠ Rakitna</v>
      </c>
      <c r="E7" s="213" t="str">
        <f>VLOOKUP(E$5,'Osnovni podatki'!$B$6:$I$9,3,FALSE)</f>
        <v>Zadružni dom Vnanje Gorice</v>
      </c>
      <c r="F7" s="212" t="str">
        <f>VLOOKUP(F$5,'Osnovni podatki'!$B$6:$I$9,3,FALSE)</f>
        <v>Vrtec Vnanje Gorice</v>
      </c>
      <c r="G7" s="213" t="str">
        <f>VLOOKUP(G$5,'Osnovni podatki'!$B$6:$I$9,3,FALSE)</f>
        <v>Zdravstveni dom Podpeč</v>
      </c>
      <c r="H7" s="1181"/>
      <c r="I7" s="102"/>
      <c r="J7" s="102"/>
      <c r="K7" s="102"/>
      <c r="L7" s="87"/>
    </row>
    <row r="8" spans="2:12" ht="15" customHeight="1" x14ac:dyDescent="0.2">
      <c r="B8" s="19" t="s">
        <v>62</v>
      </c>
      <c r="C8" s="203"/>
      <c r="D8" s="203"/>
      <c r="E8" s="203"/>
      <c r="F8" s="203"/>
      <c r="G8" s="214"/>
      <c r="H8" s="215"/>
      <c r="I8" s="102"/>
      <c r="J8" s="102"/>
      <c r="K8" s="102"/>
      <c r="L8" s="102"/>
    </row>
    <row r="9" spans="2:12" ht="15" customHeight="1" x14ac:dyDescent="0.2">
      <c r="B9" s="171" t="s">
        <v>312</v>
      </c>
      <c r="C9" s="150" t="s">
        <v>64</v>
      </c>
      <c r="D9" s="46">
        <f ca="1">INDEX(INDIRECT(D$6&amp;"!$B$56:$E$67"),MATCH($B9,INDIRECT(D$6&amp;"!$B$56:$B$67")),4)</f>
        <v>142661</v>
      </c>
      <c r="E9" s="46">
        <f ca="1">INDEX(INDIRECT(E$6&amp;"!$B$56:$E$67"),MATCH($B9,INDIRECT(E$6&amp;"!$B$56:$B$67")),4)</f>
        <v>98598</v>
      </c>
      <c r="F9" s="46">
        <f t="shared" ref="F9:G9" ca="1" si="0">INDEX(INDIRECT(F$6&amp;"!$B$56:$E$67"),MATCH($B9,INDIRECT(F$6&amp;"!$B$56:$B$67")),4)</f>
        <v>213065.03833792129</v>
      </c>
      <c r="G9" s="83">
        <f t="shared" ca="1" si="0"/>
        <v>79733.904666694318</v>
      </c>
      <c r="H9" s="84">
        <f t="shared" ref="H9:H14" ca="1" si="1">SUM(D9:G9)</f>
        <v>534057.9430046156</v>
      </c>
      <c r="I9" s="102"/>
      <c r="J9" s="102"/>
      <c r="K9" s="102"/>
      <c r="L9" s="102"/>
    </row>
    <row r="10" spans="2:12" ht="15" customHeight="1" x14ac:dyDescent="0.2">
      <c r="B10" s="171" t="s">
        <v>313</v>
      </c>
      <c r="C10" s="150" t="s">
        <v>64</v>
      </c>
      <c r="D10" s="46">
        <f t="shared" ref="D10:G10" ca="1" si="2">INDEX(INDIRECT(D$6&amp;"!$B$56:$E$67"),MATCH($B10,INDIRECT(D$6&amp;"!$B$56:$B$67")),4)</f>
        <v>0</v>
      </c>
      <c r="E10" s="46">
        <f t="shared" ca="1" si="2"/>
        <v>0</v>
      </c>
      <c r="F10" s="46">
        <f t="shared" ca="1" si="2"/>
        <v>0</v>
      </c>
      <c r="G10" s="83">
        <f t="shared" ca="1" si="2"/>
        <v>0</v>
      </c>
      <c r="H10" s="84">
        <f t="shared" ca="1" si="1"/>
        <v>0</v>
      </c>
      <c r="I10" s="102"/>
      <c r="J10" s="102"/>
      <c r="K10" s="102"/>
      <c r="L10" s="102"/>
    </row>
    <row r="11" spans="2:12" ht="15" customHeight="1" x14ac:dyDescent="0.2">
      <c r="B11" s="171" t="s">
        <v>314</v>
      </c>
      <c r="C11" s="150" t="s">
        <v>64</v>
      </c>
      <c r="D11" s="46">
        <f t="shared" ref="D11:G14" ca="1" si="3">INDEX(INDIRECT(D$6&amp;"!$B$56:$E$72"),MATCH($B11,INDIRECT(D$6&amp;"!$B$56:$B$72")),4)</f>
        <v>0</v>
      </c>
      <c r="E11" s="46">
        <f t="shared" ca="1" si="3"/>
        <v>0</v>
      </c>
      <c r="F11" s="46">
        <f t="shared" ca="1" si="3"/>
        <v>0</v>
      </c>
      <c r="G11" s="83">
        <f t="shared" ca="1" si="3"/>
        <v>0</v>
      </c>
      <c r="H11" s="84">
        <f t="shared" ca="1" si="1"/>
        <v>0</v>
      </c>
      <c r="I11" s="102"/>
      <c r="J11" s="102"/>
      <c r="K11" s="102"/>
      <c r="L11" s="102"/>
    </row>
    <row r="12" spans="2:12" ht="15" customHeight="1" x14ac:dyDescent="0.2">
      <c r="B12" s="536" t="s">
        <v>317</v>
      </c>
      <c r="C12" s="150" t="s">
        <v>64</v>
      </c>
      <c r="D12" s="46">
        <f t="shared" ca="1" si="3"/>
        <v>142661</v>
      </c>
      <c r="E12" s="46">
        <f t="shared" ca="1" si="3"/>
        <v>98598</v>
      </c>
      <c r="F12" s="46">
        <f t="shared" ca="1" si="3"/>
        <v>213065.03833792129</v>
      </c>
      <c r="G12" s="83">
        <f t="shared" ca="1" si="3"/>
        <v>79733.904666694318</v>
      </c>
      <c r="H12" s="84">
        <f t="shared" ca="1" si="1"/>
        <v>534057.9430046156</v>
      </c>
      <c r="I12" s="102"/>
      <c r="J12" s="102"/>
      <c r="K12" s="102"/>
      <c r="L12" s="102"/>
    </row>
    <row r="13" spans="2:12" ht="15" customHeight="1" x14ac:dyDescent="0.2">
      <c r="B13" s="536" t="s">
        <v>321</v>
      </c>
      <c r="C13" s="150" t="s">
        <v>64</v>
      </c>
      <c r="D13" s="46">
        <f t="shared" ca="1" si="3"/>
        <v>0</v>
      </c>
      <c r="E13" s="46">
        <f t="shared" ca="1" si="3"/>
        <v>0</v>
      </c>
      <c r="F13" s="46">
        <f t="shared" ca="1" si="3"/>
        <v>0</v>
      </c>
      <c r="G13" s="83">
        <f t="shared" ca="1" si="3"/>
        <v>0</v>
      </c>
      <c r="H13" s="84">
        <f t="shared" ca="1" si="1"/>
        <v>0</v>
      </c>
      <c r="I13" s="102"/>
      <c r="J13" s="102"/>
      <c r="K13" s="102"/>
      <c r="L13" s="102"/>
    </row>
    <row r="14" spans="2:12" ht="15" customHeight="1" thickBot="1" x14ac:dyDescent="0.25">
      <c r="B14" s="216" t="s">
        <v>101</v>
      </c>
      <c r="C14" s="217" t="s">
        <v>68</v>
      </c>
      <c r="D14" s="218">
        <f ca="1">INDEX(INDIRECT(D$6&amp;"!$B$56:$E$72"),MATCH($B14,INDIRECT(D$6&amp;"!$B$56:$B$72")),4)</f>
        <v>16406.02</v>
      </c>
      <c r="E14" s="218">
        <f t="shared" ca="1" si="3"/>
        <v>9859.7999999999975</v>
      </c>
      <c r="F14" s="218">
        <f t="shared" ca="1" si="3"/>
        <v>21306.503833792129</v>
      </c>
      <c r="G14" s="220">
        <f t="shared" ca="1" si="3"/>
        <v>8372.0652701841318</v>
      </c>
      <c r="H14" s="84">
        <f t="shared" ca="1" si="1"/>
        <v>55944.38910397626</v>
      </c>
      <c r="I14" s="102"/>
      <c r="J14" s="102"/>
      <c r="K14" s="102"/>
      <c r="L14" s="102"/>
    </row>
    <row r="15" spans="2:12" ht="15" customHeight="1" x14ac:dyDescent="0.2">
      <c r="B15" s="20" t="s">
        <v>44</v>
      </c>
      <c r="C15" s="205"/>
      <c r="D15" s="205"/>
      <c r="E15" s="205"/>
      <c r="F15" s="205"/>
      <c r="G15" s="221"/>
      <c r="H15" s="222"/>
      <c r="I15" s="102"/>
      <c r="J15" s="102"/>
      <c r="K15" s="102"/>
      <c r="L15" s="102"/>
    </row>
    <row r="16" spans="2:12" ht="15" customHeight="1" x14ac:dyDescent="0.2">
      <c r="B16" s="178" t="s">
        <v>104</v>
      </c>
      <c r="C16" s="155" t="s">
        <v>64</v>
      </c>
      <c r="D16" s="47">
        <f ca="1">INDEX(INDIRECT(D$6&amp;"!$B$75:$E$80"),MATCH($B16,INDIRECT(D$6&amp;"!$B$75:$B$80")),4)</f>
        <v>34794</v>
      </c>
      <c r="E16" s="47">
        <f t="shared" ref="E16:G17" ca="1" si="4">INDEX(INDIRECT(E$6&amp;"!$B$75:$E$80"),MATCH($B16,INDIRECT(E$6&amp;"!$B$75:$B$80")),4)</f>
        <v>82438.799999999988</v>
      </c>
      <c r="F16" s="47">
        <f t="shared" ca="1" si="4"/>
        <v>99991</v>
      </c>
      <c r="G16" s="83">
        <f t="shared" ca="1" si="4"/>
        <v>29705.566666666666</v>
      </c>
      <c r="H16" s="85">
        <f ca="1">SUM(D16:G16)</f>
        <v>246929.36666666664</v>
      </c>
      <c r="I16" s="102"/>
      <c r="J16" s="102"/>
      <c r="K16" s="102"/>
      <c r="L16" s="102"/>
    </row>
    <row r="17" spans="2:12" ht="15" customHeight="1" thickBot="1" x14ac:dyDescent="0.25">
      <c r="B17" s="207" t="s">
        <v>101</v>
      </c>
      <c r="C17" s="223" t="s">
        <v>68</v>
      </c>
      <c r="D17" s="224">
        <f ca="1">INDEX(INDIRECT(D$6&amp;"!$B$75:$E$80"),MATCH($B17,INDIRECT(D$6&amp;"!$B$75:$B$80")),4)</f>
        <v>5810.598</v>
      </c>
      <c r="E17" s="224">
        <f t="shared" ca="1" si="4"/>
        <v>13767.279599999998</v>
      </c>
      <c r="F17" s="224">
        <f t="shared" ca="1" si="4"/>
        <v>16698.496999999999</v>
      </c>
      <c r="G17" s="220">
        <f t="shared" ca="1" si="4"/>
        <v>4960.8296333333328</v>
      </c>
      <c r="H17" s="225">
        <f ca="1">SUM(D17:G17)</f>
        <v>41237.20423333333</v>
      </c>
      <c r="I17" s="102"/>
      <c r="J17" s="102"/>
      <c r="K17" s="102"/>
      <c r="L17" s="102"/>
    </row>
    <row r="18" spans="2:12" ht="15" customHeight="1" x14ac:dyDescent="0.2">
      <c r="B18" s="48" t="s">
        <v>71</v>
      </c>
      <c r="C18" s="226"/>
      <c r="D18" s="226"/>
      <c r="E18" s="226"/>
      <c r="F18" s="226"/>
      <c r="G18" s="227"/>
      <c r="H18" s="228"/>
      <c r="I18" s="102"/>
      <c r="J18" s="102"/>
      <c r="K18" s="102"/>
      <c r="L18" s="102"/>
    </row>
    <row r="19" spans="2:12" ht="39.950000000000003" customHeight="1" thickBot="1" x14ac:dyDescent="0.25">
      <c r="B19" s="229" t="s">
        <v>110</v>
      </c>
      <c r="C19" s="230"/>
      <c r="D19" s="231">
        <f ca="1">INDEX(INDIRECT(D$6&amp;"!$B$83:E85"),MATCH($B19,INDIRECT(D$6&amp;"!$B$83:B85")),4)</f>
        <v>5726</v>
      </c>
      <c r="E19" s="231">
        <f t="shared" ref="E19:G19" ca="1" si="5">INDEX(INDIRECT(E$6&amp;"!$B$83:E85"),MATCH($B19,INDIRECT(E$6&amp;"!$B$83:B85")),4)</f>
        <v>3783</v>
      </c>
      <c r="F19" s="231">
        <f t="shared" ca="1" si="5"/>
        <v>6291</v>
      </c>
      <c r="G19" s="233">
        <f t="shared" ca="1" si="5"/>
        <v>3291</v>
      </c>
      <c r="H19" s="234">
        <f ca="1">SUM(D19:G19)</f>
        <v>19091</v>
      </c>
    </row>
    <row r="20" spans="2:12" ht="15" customHeight="1" x14ac:dyDescent="0.2">
      <c r="B20" s="49" t="s">
        <v>112</v>
      </c>
      <c r="C20" s="235"/>
      <c r="D20" s="235"/>
      <c r="E20" s="235"/>
      <c r="F20" s="235"/>
      <c r="G20" s="236"/>
      <c r="H20" s="237"/>
    </row>
    <row r="21" spans="2:12" ht="15" customHeight="1" x14ac:dyDescent="0.2">
      <c r="B21" s="182" t="s">
        <v>116</v>
      </c>
      <c r="C21" s="163" t="s">
        <v>68</v>
      </c>
      <c r="D21" s="238">
        <f ca="1">INDEX(INDIRECT(D$6&amp;"!$B$88:$E$90"),MATCH($B21,INDIRECT(D$6&amp;"!$B$88:$B$90")),4)</f>
        <v>27942.618000000002</v>
      </c>
      <c r="E21" s="238">
        <f ca="1">INDEX(INDIRECT(E$6&amp;"!$B$88:$E$90"),MATCH($B21,INDIRECT(E$6&amp;"!$B$88:$B$90")),4)</f>
        <v>27410.079599999997</v>
      </c>
      <c r="F21" s="238">
        <f t="shared" ref="F21:G21" ca="1" si="6">INDEX(INDIRECT(F$6&amp;"!$B$88:$E$90"),MATCH($B21,INDIRECT(F$6&amp;"!$B$88:$B$90")),4)</f>
        <v>44296.000833792132</v>
      </c>
      <c r="G21" s="219">
        <f t="shared" ca="1" si="6"/>
        <v>16623.894903517466</v>
      </c>
      <c r="H21" s="239">
        <f ca="1">SUM(D21:G21)</f>
        <v>116272.5933373096</v>
      </c>
    </row>
    <row r="22" spans="2:12" ht="15" customHeight="1" x14ac:dyDescent="0.2">
      <c r="B22" s="182" t="s">
        <v>118</v>
      </c>
      <c r="C22" s="163" t="s">
        <v>68</v>
      </c>
      <c r="D22" s="238">
        <f ca="1">INDIRECT(D6&amp;"!J72")</f>
        <v>310676.85279307468</v>
      </c>
      <c r="E22" s="238">
        <f t="shared" ref="E22" ca="1" si="7">INDIRECT(E6&amp;"!J72")</f>
        <v>304755.88453936769</v>
      </c>
      <c r="F22" s="238">
        <f t="shared" ref="F22:G22" ca="1" si="8">INDIRECT(F6&amp;"!J72")</f>
        <v>492500.09896574292</v>
      </c>
      <c r="G22" s="219">
        <f t="shared" ca="1" si="8"/>
        <v>184830.90416895223</v>
      </c>
      <c r="H22" s="239">
        <f ca="1">SUM(D22:G22)</f>
        <v>1292763.7404671374</v>
      </c>
    </row>
    <row r="23" spans="2:12" ht="15" customHeight="1" thickBot="1" x14ac:dyDescent="0.25">
      <c r="B23" s="183" t="s">
        <v>127</v>
      </c>
      <c r="C23" s="184" t="s">
        <v>68</v>
      </c>
      <c r="D23" s="240">
        <f ca="1">INDIRECT(D6&amp;"!K33")</f>
        <v>0</v>
      </c>
      <c r="E23" s="240">
        <f t="shared" ref="E23" ca="1" si="9">INDIRECT(E6&amp;"!K33")</f>
        <v>0</v>
      </c>
      <c r="F23" s="240">
        <f t="shared" ref="F23:G23" ca="1" si="10">INDIRECT(F6&amp;"!K33")</f>
        <v>0</v>
      </c>
      <c r="G23" s="232">
        <f t="shared" ca="1" si="10"/>
        <v>0</v>
      </c>
      <c r="H23" s="241">
        <f ca="1">SUM(D23:G23)</f>
        <v>0</v>
      </c>
    </row>
  </sheetData>
  <mergeCells count="1">
    <mergeCell ref="H5:H7"/>
  </mergeCells>
  <phoneticPr fontId="19" type="noConversion"/>
  <pageMargins left="0.70866141732283472" right="0.70866141732283472" top="0.74803149606299213" bottom="0.74803149606299213" header="0.31496062992125984" footer="0.31496062992125984"/>
  <pageSetup paperSize="9" scale="82" orientation="landscape" r:id="rId1"/>
  <headerFooter>
    <oddHeader>&amp;LProgram izvajanja koncesije "Celovita energetska prenova 7 objektov UKC LJ"&amp;R&amp;A</oddHeader>
    <oddFooter>&amp;RStran &amp;P / &amp;N</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AE162"/>
  <sheetViews>
    <sheetView topLeftCell="A61" zoomScale="130" zoomScaleNormal="130" workbookViewId="0">
      <selection activeCell="S9" sqref="S9:S10"/>
    </sheetView>
  </sheetViews>
  <sheetFormatPr defaultColWidth="9.140625" defaultRowHeight="12.75" x14ac:dyDescent="0.2"/>
  <cols>
    <col min="1" max="1" width="9.140625" style="78"/>
    <col min="2" max="2" width="29.140625" style="78" customWidth="1"/>
    <col min="3" max="3" width="18.85546875" style="78" bestFit="1" customWidth="1"/>
    <col min="4" max="10" width="12.7109375" style="78" customWidth="1"/>
    <col min="11" max="11" width="9.140625" style="78"/>
    <col min="12" max="12" width="12.140625" style="78" customWidth="1"/>
    <col min="13" max="13" width="9.140625" style="78"/>
    <col min="14" max="14" width="6.7109375" style="78" bestFit="1" customWidth="1"/>
    <col min="15" max="16" width="9.140625" style="78"/>
    <col min="17" max="17" width="10.28515625" style="78" bestFit="1" customWidth="1"/>
    <col min="18" max="21" width="9.140625" style="78"/>
    <col min="22" max="27" width="11.28515625" style="78" customWidth="1"/>
    <col min="28" max="16384" width="9.140625" style="78"/>
  </cols>
  <sheetData>
    <row r="2" spans="2:20" ht="20.25" x14ac:dyDescent="0.2">
      <c r="B2" s="37" t="s">
        <v>7</v>
      </c>
      <c r="C2" s="102"/>
      <c r="D2" s="102"/>
      <c r="E2" s="102"/>
      <c r="F2" s="102"/>
      <c r="G2" s="102"/>
      <c r="H2" s="102"/>
      <c r="I2" s="102"/>
      <c r="J2" s="102"/>
      <c r="K2" s="102"/>
      <c r="L2" s="535" t="s">
        <v>391</v>
      </c>
      <c r="Q2" s="535" t="s">
        <v>566</v>
      </c>
    </row>
    <row r="3" spans="2:20" ht="13.5" thickBot="1" x14ac:dyDescent="0.25">
      <c r="B3" s="102"/>
      <c r="C3" s="102"/>
      <c r="D3" s="102"/>
      <c r="E3" s="102"/>
      <c r="F3" s="102"/>
      <c r="G3" s="102"/>
      <c r="H3" s="102"/>
      <c r="I3" s="102"/>
      <c r="J3" s="102"/>
      <c r="K3" s="102"/>
      <c r="O3" s="557" t="s">
        <v>325</v>
      </c>
      <c r="T3" s="557" t="s">
        <v>325</v>
      </c>
    </row>
    <row r="4" spans="2:20" ht="17.25" thickBot="1" x14ac:dyDescent="0.25">
      <c r="B4" s="100" t="s">
        <v>128</v>
      </c>
      <c r="C4" s="556"/>
      <c r="D4" s="102"/>
      <c r="E4" s="102"/>
      <c r="F4" s="102"/>
      <c r="G4" s="102"/>
      <c r="H4" s="102"/>
      <c r="I4" s="102"/>
      <c r="J4" s="102"/>
      <c r="K4" s="102"/>
      <c r="L4" s="555">
        <v>2017</v>
      </c>
      <c r="M4" s="558">
        <v>2822</v>
      </c>
      <c r="N4" s="555" t="s">
        <v>324</v>
      </c>
      <c r="Q4" s="555">
        <v>2017</v>
      </c>
      <c r="R4" s="558">
        <v>3639.5</v>
      </c>
      <c r="S4" s="555" t="s">
        <v>324</v>
      </c>
    </row>
    <row r="5" spans="2:20" ht="17.25" thickBot="1" x14ac:dyDescent="0.25">
      <c r="B5" s="53" t="s">
        <v>4</v>
      </c>
      <c r="C5" s="54"/>
      <c r="D5" s="54"/>
      <c r="E5" s="54"/>
      <c r="F5" s="54"/>
      <c r="G5" s="54"/>
      <c r="H5" s="54"/>
      <c r="I5" s="54"/>
      <c r="J5" s="54"/>
      <c r="K5" s="102"/>
      <c r="L5" s="555">
        <v>2018</v>
      </c>
      <c r="M5" s="558">
        <v>2720</v>
      </c>
      <c r="N5" s="555" t="s">
        <v>324</v>
      </c>
      <c r="Q5" s="555">
        <v>2018</v>
      </c>
      <c r="R5" s="558">
        <v>3258.3</v>
      </c>
      <c r="S5" s="555" t="s">
        <v>324</v>
      </c>
    </row>
    <row r="6" spans="2:20" ht="17.25" thickBot="1" x14ac:dyDescent="0.25">
      <c r="B6" s="6" t="s">
        <v>51</v>
      </c>
      <c r="C6" s="92"/>
      <c r="D6" s="146">
        <v>1</v>
      </c>
      <c r="E6" s="123">
        <v>2</v>
      </c>
      <c r="F6" s="146">
        <v>3</v>
      </c>
      <c r="G6" s="123">
        <v>4</v>
      </c>
      <c r="H6" s="146"/>
      <c r="I6" s="123"/>
      <c r="J6" s="146"/>
      <c r="K6" s="102"/>
      <c r="L6" s="555">
        <v>2019</v>
      </c>
      <c r="M6" s="558">
        <v>2607</v>
      </c>
      <c r="N6" s="555" t="s">
        <v>324</v>
      </c>
      <c r="Q6" s="555">
        <v>2019</v>
      </c>
      <c r="R6" s="558">
        <v>3339.1</v>
      </c>
      <c r="S6" s="555" t="s">
        <v>324</v>
      </c>
    </row>
    <row r="7" spans="2:20" ht="50.25" thickBot="1" x14ac:dyDescent="0.25">
      <c r="B7" s="6" t="s">
        <v>52</v>
      </c>
      <c r="C7" s="92"/>
      <c r="D7" s="146" t="str">
        <f>VLOOKUP(D$6,'Osnovni podatki'!$B$6:$I$9,2,FALSE)</f>
        <v>OB001</v>
      </c>
      <c r="E7" s="123" t="str">
        <f>VLOOKUP(E$6,'Osnovni podatki'!$B$6:$I$9,2,FALSE)</f>
        <v>OB002</v>
      </c>
      <c r="F7" s="146" t="str">
        <f>VLOOKUP(F$6,'Osnovni podatki'!$B$6:$I$9,2,FALSE)</f>
        <v>OB003</v>
      </c>
      <c r="G7" s="123" t="str">
        <f>VLOOKUP(G$6,'Osnovni podatki'!$B$6:$I$9,2,FALSE)</f>
        <v>OB004</v>
      </c>
      <c r="H7" s="146"/>
      <c r="I7" s="123"/>
      <c r="J7" s="146"/>
      <c r="K7" s="102"/>
      <c r="L7" s="555" t="s">
        <v>567</v>
      </c>
      <c r="M7" s="558">
        <f>AVERAGE(M4:M6)</f>
        <v>2716.3333333333335</v>
      </c>
      <c r="N7" s="555" t="s">
        <v>324</v>
      </c>
      <c r="Q7" s="555" t="s">
        <v>567</v>
      </c>
      <c r="R7" s="558">
        <f>AVERAGE(R4:R6)</f>
        <v>3412.2999999999997</v>
      </c>
      <c r="S7" s="555" t="s">
        <v>324</v>
      </c>
    </row>
    <row r="8" spans="2:20" ht="45" customHeight="1" thickBot="1" x14ac:dyDescent="0.25">
      <c r="B8" s="56" t="s">
        <v>53</v>
      </c>
      <c r="C8" s="101"/>
      <c r="D8" s="212" t="str">
        <f>VLOOKUP(D$6,'Osnovni podatki'!$B$6:$I$9,3,FALSE)</f>
        <v>POŠ Rakitna</v>
      </c>
      <c r="E8" s="213" t="str">
        <f>VLOOKUP(E$6,'Osnovni podatki'!$B$6:$I$9,3,FALSE)</f>
        <v>Zadružni dom Vnanje Gorice</v>
      </c>
      <c r="F8" s="212" t="str">
        <f>VLOOKUP(F$6,'Osnovni podatki'!$B$6:$I$9,3,FALSE)</f>
        <v>Vrtec Vnanje Gorice</v>
      </c>
      <c r="G8" s="213" t="str">
        <f>VLOOKUP(G$6,'Osnovni podatki'!$B$6:$I$9,3,FALSE)</f>
        <v>Zdravstveni dom Podpeč</v>
      </c>
      <c r="H8" s="212"/>
      <c r="I8" s="213"/>
      <c r="J8" s="212"/>
      <c r="K8" s="102"/>
      <c r="L8" s="102"/>
    </row>
    <row r="9" spans="2:20" ht="15" customHeight="1" x14ac:dyDescent="0.2">
      <c r="B9" s="80" t="s">
        <v>50</v>
      </c>
      <c r="C9" s="81"/>
      <c r="D9" s="81"/>
      <c r="E9" s="81"/>
      <c r="F9" s="81"/>
      <c r="G9" s="81"/>
      <c r="H9" s="81"/>
      <c r="I9" s="81"/>
      <c r="J9" s="81"/>
      <c r="K9" s="102"/>
      <c r="L9" s="102"/>
    </row>
    <row r="10" spans="2:20" ht="30" customHeight="1" x14ac:dyDescent="0.2">
      <c r="B10" s="75" t="s">
        <v>129</v>
      </c>
      <c r="C10" s="155" t="s">
        <v>130</v>
      </c>
      <c r="D10" s="559">
        <f>R7</f>
        <v>3412.2999999999997</v>
      </c>
      <c r="E10" s="560">
        <f>M7</f>
        <v>2716.3333333333335</v>
      </c>
      <c r="F10" s="559">
        <f>M7</f>
        <v>2716.3333333333335</v>
      </c>
      <c r="G10" s="560">
        <f>M7</f>
        <v>2716.3333333333335</v>
      </c>
      <c r="H10" s="559"/>
      <c r="I10" s="560"/>
      <c r="J10" s="559"/>
      <c r="K10" s="102"/>
      <c r="L10" s="102" t="s">
        <v>131</v>
      </c>
    </row>
    <row r="11" spans="2:20" ht="25.5" x14ac:dyDescent="0.2">
      <c r="B11" s="75" t="s">
        <v>132</v>
      </c>
      <c r="C11" s="155" t="s">
        <v>130</v>
      </c>
      <c r="D11" s="559"/>
      <c r="E11" s="560"/>
      <c r="F11" s="559"/>
      <c r="G11" s="560"/>
      <c r="H11" s="559"/>
      <c r="I11" s="560"/>
      <c r="J11" s="559"/>
      <c r="K11" s="102"/>
      <c r="L11" s="102" t="s">
        <v>133</v>
      </c>
    </row>
    <row r="12" spans="2:20" x14ac:dyDescent="0.2">
      <c r="B12" s="76" t="s">
        <v>134</v>
      </c>
      <c r="C12" s="74" t="s">
        <v>135</v>
      </c>
      <c r="D12" s="195" t="e">
        <f t="shared" ref="D12:G12" si="0">ROUND(D10/D11,4)</f>
        <v>#DIV/0!</v>
      </c>
      <c r="E12" s="123" t="e">
        <f t="shared" si="0"/>
        <v>#DIV/0!</v>
      </c>
      <c r="F12" s="195" t="e">
        <f t="shared" si="0"/>
        <v>#DIV/0!</v>
      </c>
      <c r="G12" s="123" t="e">
        <f t="shared" si="0"/>
        <v>#DIV/0!</v>
      </c>
      <c r="H12" s="195"/>
      <c r="I12" s="123"/>
      <c r="J12" s="195"/>
      <c r="K12" s="102"/>
      <c r="L12" s="102"/>
    </row>
    <row r="13" spans="2:20" x14ac:dyDescent="0.2">
      <c r="B13" s="77" t="s">
        <v>136</v>
      </c>
      <c r="C13" s="155" t="s">
        <v>135</v>
      </c>
      <c r="D13" s="195"/>
      <c r="E13" s="123"/>
      <c r="F13" s="195"/>
      <c r="G13" s="123"/>
      <c r="H13" s="195"/>
      <c r="I13" s="123"/>
      <c r="J13" s="195"/>
      <c r="K13" s="102"/>
      <c r="L13" s="102"/>
    </row>
    <row r="14" spans="2:20" x14ac:dyDescent="0.2">
      <c r="B14" s="77" t="s">
        <v>137</v>
      </c>
      <c r="C14" s="155" t="s">
        <v>135</v>
      </c>
      <c r="D14" s="195"/>
      <c r="E14" s="123"/>
      <c r="F14" s="195"/>
      <c r="G14" s="123"/>
      <c r="H14" s="195"/>
      <c r="I14" s="123"/>
      <c r="J14" s="195"/>
      <c r="K14" s="102"/>
      <c r="L14" s="102"/>
    </row>
    <row r="15" spans="2:20" ht="13.5" thickBot="1" x14ac:dyDescent="0.25">
      <c r="B15" s="67" t="s">
        <v>138</v>
      </c>
      <c r="C15" s="68" t="s">
        <v>135</v>
      </c>
      <c r="D15" s="553">
        <f>IFERROR(D14/D13,1)</f>
        <v>1</v>
      </c>
      <c r="E15" s="554">
        <f t="shared" ref="E15:G15" si="1">IFERROR(E14/E13,1)</f>
        <v>1</v>
      </c>
      <c r="F15" s="553">
        <f t="shared" si="1"/>
        <v>1</v>
      </c>
      <c r="G15" s="554">
        <f t="shared" si="1"/>
        <v>1</v>
      </c>
      <c r="H15" s="553"/>
      <c r="I15" s="554"/>
      <c r="J15" s="553"/>
      <c r="K15" s="102"/>
      <c r="L15" s="102"/>
    </row>
    <row r="18" spans="2:31" x14ac:dyDescent="0.2">
      <c r="B18" s="701" t="s">
        <v>351</v>
      </c>
      <c r="C18" s="702"/>
      <c r="D18" s="702"/>
      <c r="E18" s="702"/>
      <c r="F18" s="702"/>
      <c r="G18" s="702"/>
      <c r="H18" s="703"/>
    </row>
    <row r="19" spans="2:31" ht="15.75" x14ac:dyDescent="0.25">
      <c r="B19" s="704" t="s">
        <v>374</v>
      </c>
      <c r="C19" s="705"/>
      <c r="D19" s="706"/>
      <c r="E19" s="705"/>
      <c r="F19" s="705"/>
      <c r="G19" s="707"/>
      <c r="H19" s="708"/>
      <c r="I19" s="696" t="s">
        <v>376</v>
      </c>
    </row>
    <row r="20" spans="2:31" x14ac:dyDescent="0.2">
      <c r="B20" s="697"/>
      <c r="C20" s="697"/>
      <c r="D20" s="697"/>
      <c r="E20" s="697"/>
      <c r="F20" s="697"/>
      <c r="G20" s="698" t="s">
        <v>47</v>
      </c>
      <c r="H20" s="697"/>
      <c r="I20" s="694"/>
      <c r="J20" s="694"/>
      <c r="K20" s="694"/>
      <c r="L20" s="694"/>
      <c r="M20" s="694"/>
      <c r="N20" s="694"/>
      <c r="O20" s="694"/>
      <c r="P20" s="694"/>
      <c r="Q20" s="694"/>
      <c r="R20" s="694"/>
      <c r="S20" s="694"/>
      <c r="T20" s="694"/>
      <c r="U20" s="694"/>
      <c r="V20" s="694"/>
      <c r="W20" s="694"/>
      <c r="X20" s="694"/>
      <c r="Y20" s="694"/>
      <c r="Z20" s="694"/>
      <c r="AA20" s="694"/>
      <c r="AB20" s="694"/>
      <c r="AC20" s="694"/>
      <c r="AD20" s="694"/>
      <c r="AE20" s="694"/>
    </row>
    <row r="21" spans="2:31" x14ac:dyDescent="0.2">
      <c r="B21" s="697" t="s">
        <v>375</v>
      </c>
      <c r="C21" s="697"/>
      <c r="D21" s="697"/>
      <c r="E21" s="699">
        <v>20</v>
      </c>
      <c r="F21" s="697" t="s">
        <v>352</v>
      </c>
      <c r="G21" s="642">
        <f>SUM(S42:S57,X27:X57,AC27:AC57,D61:D91,I61:I91,N61:N91,S61:S91,X61:X91,AC61:AC91,D97:D127,I97:I127,N97:N127,S97:S111)</f>
        <v>2719.2999999999979</v>
      </c>
      <c r="H21" s="697" t="s">
        <v>371</v>
      </c>
      <c r="I21" s="694"/>
      <c r="J21" s="694" t="s">
        <v>392</v>
      </c>
      <c r="K21" s="694"/>
      <c r="L21" s="694"/>
      <c r="M21" s="694"/>
      <c r="N21" s="694"/>
      <c r="O21" s="694"/>
      <c r="P21" s="694"/>
      <c r="Q21" s="694"/>
      <c r="R21" s="694"/>
      <c r="S21" s="694"/>
      <c r="T21" s="694"/>
      <c r="U21" s="694"/>
      <c r="V21" s="694"/>
      <c r="W21" s="694"/>
      <c r="X21" s="694"/>
      <c r="Y21" s="694"/>
      <c r="Z21" s="694"/>
      <c r="AA21" s="694"/>
      <c r="AB21" s="694"/>
      <c r="AC21" s="694"/>
      <c r="AD21" s="694"/>
      <c r="AE21" s="694"/>
    </row>
    <row r="22" spans="2:31" x14ac:dyDescent="0.2">
      <c r="B22" s="697" t="s">
        <v>377</v>
      </c>
      <c r="C22" s="697"/>
      <c r="D22" s="697"/>
      <c r="E22" s="699">
        <v>22</v>
      </c>
      <c r="F22" s="697" t="s">
        <v>352</v>
      </c>
      <c r="G22" s="642">
        <f>SUM(T42:T57,Y27:Y57,AD27:AD57,E61:E91,J61:J91,O61:O91,T61:T91,Y61:Y91,AD61:AD91,E97:E127,J97:J127,O97:O127,T97:T111)</f>
        <v>3079.2999999999975</v>
      </c>
      <c r="H22" s="697" t="s">
        <v>371</v>
      </c>
      <c r="I22" s="695"/>
      <c r="J22" s="694"/>
      <c r="K22" s="694"/>
      <c r="L22" s="694"/>
      <c r="M22" s="694"/>
      <c r="N22" s="694"/>
      <c r="O22" s="694"/>
      <c r="P22" s="694"/>
      <c r="Q22" s="694"/>
      <c r="R22" s="694"/>
      <c r="S22" s="694"/>
      <c r="T22" s="694"/>
      <c r="U22" s="694"/>
      <c r="V22" s="694"/>
      <c r="W22" s="694"/>
      <c r="X22" s="694"/>
      <c r="Y22" s="694"/>
      <c r="Z22" s="694"/>
      <c r="AA22" s="694"/>
      <c r="AB22" s="694"/>
      <c r="AC22" s="694"/>
      <c r="AD22" s="694"/>
      <c r="AE22" s="694"/>
    </row>
    <row r="23" spans="2:31" x14ac:dyDescent="0.2">
      <c r="B23" s="697" t="s">
        <v>372</v>
      </c>
      <c r="C23" s="697"/>
      <c r="D23" s="697"/>
      <c r="E23" s="699">
        <v>23.429686609686634</v>
      </c>
      <c r="F23" s="697" t="s">
        <v>352</v>
      </c>
      <c r="G23" s="642">
        <f>SUM(U42:U57,Z27:Z57,AE27:AE57,F61:F91,K61:K91,P61:P91,U61:U91,Z61:Z91,AE61:AE91,F97:F127,K97:K127,P97:P127,U97:U111)</f>
        <v>3336.6435897435927</v>
      </c>
      <c r="H23" s="697" t="s">
        <v>371</v>
      </c>
      <c r="I23" s="694"/>
      <c r="J23" s="700">
        <f>+G22/G23</f>
        <v>0.92287351560872855</v>
      </c>
      <c r="K23" s="694" t="s">
        <v>373</v>
      </c>
      <c r="L23" s="694"/>
      <c r="M23" s="694"/>
      <c r="N23" s="694"/>
      <c r="O23" s="694"/>
      <c r="P23" s="694"/>
      <c r="Q23" s="694"/>
      <c r="R23" s="694"/>
      <c r="S23" s="694"/>
      <c r="T23" s="694"/>
      <c r="U23" s="694"/>
      <c r="V23" s="694"/>
      <c r="W23" s="694"/>
      <c r="X23" s="694"/>
      <c r="Y23" s="694"/>
      <c r="Z23" s="694"/>
      <c r="AA23" s="694"/>
      <c r="AB23" s="694"/>
      <c r="AC23" s="694"/>
      <c r="AD23" s="694"/>
      <c r="AE23" s="694"/>
    </row>
    <row r="24" spans="2:31" ht="13.5" thickBot="1" x14ac:dyDescent="0.25">
      <c r="B24" s="694"/>
      <c r="C24" s="694"/>
      <c r="D24" s="694"/>
      <c r="E24" s="694"/>
      <c r="F24" s="694"/>
      <c r="G24" s="694"/>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row>
    <row r="25" spans="2:31" x14ac:dyDescent="0.2">
      <c r="B25" s="1185" t="s">
        <v>353</v>
      </c>
      <c r="C25" s="1186"/>
      <c r="D25" s="1186"/>
      <c r="E25" s="1186"/>
      <c r="F25" s="1187"/>
      <c r="G25" s="1185" t="s">
        <v>354</v>
      </c>
      <c r="H25" s="1186"/>
      <c r="I25" s="1186"/>
      <c r="J25" s="1186"/>
      <c r="K25" s="1187"/>
      <c r="L25" s="1186" t="s">
        <v>355</v>
      </c>
      <c r="M25" s="1186"/>
      <c r="N25" s="1186"/>
      <c r="O25" s="1186"/>
      <c r="P25" s="1187"/>
      <c r="Q25" s="1185" t="s">
        <v>356</v>
      </c>
      <c r="R25" s="1186"/>
      <c r="S25" s="1186"/>
      <c r="T25" s="1186"/>
      <c r="U25" s="1186"/>
      <c r="V25" s="1185" t="s">
        <v>357</v>
      </c>
      <c r="W25" s="1186"/>
      <c r="X25" s="1186"/>
      <c r="Y25" s="1186"/>
      <c r="Z25" s="1187"/>
      <c r="AA25" s="1188" t="s">
        <v>358</v>
      </c>
      <c r="AB25" s="1188"/>
      <c r="AC25" s="1188"/>
      <c r="AD25" s="1188"/>
      <c r="AE25" s="1189"/>
    </row>
    <row r="26" spans="2:31" x14ac:dyDescent="0.2">
      <c r="B26" s="626" t="s">
        <v>359</v>
      </c>
      <c r="C26" s="627" t="s">
        <v>360</v>
      </c>
      <c r="D26" s="628" t="s">
        <v>361</v>
      </c>
      <c r="E26" s="629" t="s">
        <v>362</v>
      </c>
      <c r="F26" s="630" t="s">
        <v>363</v>
      </c>
      <c r="G26" s="626" t="s">
        <v>359</v>
      </c>
      <c r="H26" s="627" t="s">
        <v>360</v>
      </c>
      <c r="I26" s="628" t="s">
        <v>361</v>
      </c>
      <c r="J26" s="629" t="s">
        <v>362</v>
      </c>
      <c r="K26" s="630" t="s">
        <v>363</v>
      </c>
      <c r="L26" s="631" t="s">
        <v>359</v>
      </c>
      <c r="M26" s="627" t="s">
        <v>360</v>
      </c>
      <c r="N26" s="628" t="s">
        <v>361</v>
      </c>
      <c r="O26" s="629" t="s">
        <v>362</v>
      </c>
      <c r="P26" s="632" t="s">
        <v>363</v>
      </c>
      <c r="Q26" s="631" t="s">
        <v>359</v>
      </c>
      <c r="R26" s="627" t="s">
        <v>360</v>
      </c>
      <c r="S26" s="628" t="s">
        <v>361</v>
      </c>
      <c r="T26" s="629" t="s">
        <v>362</v>
      </c>
      <c r="U26" s="633" t="s">
        <v>363</v>
      </c>
      <c r="V26" s="626" t="s">
        <v>359</v>
      </c>
      <c r="W26" s="627" t="s">
        <v>360</v>
      </c>
      <c r="X26" s="628" t="s">
        <v>361</v>
      </c>
      <c r="Y26" s="629" t="s">
        <v>362</v>
      </c>
      <c r="Z26" s="630" t="s">
        <v>363</v>
      </c>
      <c r="AA26" s="631" t="s">
        <v>359</v>
      </c>
      <c r="AB26" s="627" t="s">
        <v>360</v>
      </c>
      <c r="AC26" s="628" t="s">
        <v>361</v>
      </c>
      <c r="AD26" s="629" t="s">
        <v>362</v>
      </c>
      <c r="AE26" s="630" t="s">
        <v>363</v>
      </c>
    </row>
    <row r="27" spans="2:31" x14ac:dyDescent="0.2">
      <c r="B27" s="634">
        <v>43831</v>
      </c>
      <c r="C27" s="635">
        <v>-0.6</v>
      </c>
      <c r="D27" s="636">
        <f t="shared" ref="D27:D57" si="2">IF(C27&lt;=12, IF(C27="", 0, $E$21-C27), 0)</f>
        <v>20.6</v>
      </c>
      <c r="E27" s="636">
        <f t="shared" ref="E27:E57" si="3">IF(C27&lt;=12, IF(C27="", 0, $E$22-C27), 0)</f>
        <v>22.6</v>
      </c>
      <c r="F27" s="637">
        <f t="shared" ref="F27:F57" si="4">IF(C27&lt;=12, IF(C27="", 0, $E$23-C27), 0)</f>
        <v>24.029686609686635</v>
      </c>
      <c r="G27" s="638">
        <v>43862</v>
      </c>
      <c r="H27" s="639">
        <v>9.4</v>
      </c>
      <c r="I27" s="640">
        <f t="shared" ref="I27:I57" si="5">IF(H27&lt;=12, IF(H27="", 0, $E$21-H27), 0)</f>
        <v>10.6</v>
      </c>
      <c r="J27" s="640">
        <f t="shared" ref="J27:J57" si="6">IF(H27&lt;=12, IF(H27="", 0, $E$22-H27), 0)</f>
        <v>12.6</v>
      </c>
      <c r="K27" s="641">
        <f t="shared" ref="K27:K57" si="7">IF(H27&lt;=12, IF(H27="", 0, $E$23-H27), 0)</f>
        <v>14.029686609686634</v>
      </c>
      <c r="L27" s="634">
        <v>43891</v>
      </c>
      <c r="M27" s="635">
        <v>7.8</v>
      </c>
      <c r="N27" s="636">
        <f t="shared" ref="N27:N57" si="8">IF(M27&lt;=12, IF(M27="", 0, $E$21-M27), 0)</f>
        <v>12.2</v>
      </c>
      <c r="O27" s="636">
        <f t="shared" ref="O27:O57" si="9">IF(M27&lt;=12, IF(M27="", 0, $E$22-M27), 0)</f>
        <v>14.2</v>
      </c>
      <c r="P27" s="636">
        <f t="shared" ref="P27:P57" si="10">IF(M27&lt;=12, IF(M27="", 0, $E$23-M27), 0)</f>
        <v>15.629686609686633</v>
      </c>
      <c r="Q27" s="638">
        <v>43922</v>
      </c>
      <c r="R27" s="639">
        <v>3.8</v>
      </c>
      <c r="S27" s="642">
        <f t="shared" ref="S27:S57" si="11">IF(R27&lt;=12, IF(R27="", 0, $E$21-R27), 0)</f>
        <v>16.2</v>
      </c>
      <c r="T27" s="642">
        <f t="shared" ref="T27:T57" si="12">IF(R27&lt;=12, IF(R27="", 0, $E$22-R27), 0)</f>
        <v>18.2</v>
      </c>
      <c r="U27" s="643">
        <f t="shared" ref="U27:U57" si="13">IF(R27&lt;=12, IF(R27="", 0, $E$23-R27), 0)</f>
        <v>19.629686609686633</v>
      </c>
      <c r="V27" s="634">
        <v>43952</v>
      </c>
      <c r="W27" s="635">
        <v>14.2</v>
      </c>
      <c r="X27" s="636">
        <f t="shared" ref="X27:X57" si="14">IF(W27&lt;=12, IF(W27="", 0, $E$21-W27), 0)</f>
        <v>0</v>
      </c>
      <c r="Y27" s="636">
        <f t="shared" ref="Y27:Y57" si="15">IF(W27&lt;=12, IF(W27="", 0, $E$22-W27), 0)</f>
        <v>0</v>
      </c>
      <c r="Z27" s="637">
        <f t="shared" ref="Z27:Z57" si="16">IF(W27&lt;=12, IF(W27="", 0, $E$23-W27), 0)</f>
        <v>0</v>
      </c>
      <c r="AA27" s="638">
        <v>43983</v>
      </c>
      <c r="AB27" s="639">
        <v>18</v>
      </c>
      <c r="AC27" s="642">
        <f t="shared" ref="AC27:AC57" si="17">IF(AB27&lt;=12, IF(AB27="", 0, $E$21-AB27), 0)</f>
        <v>0</v>
      </c>
      <c r="AD27" s="642">
        <f t="shared" ref="AD27:AD57" si="18">IF(AB27&lt;=12, IF(AB27="", 0, $E$22-AB27), 0)</f>
        <v>0</v>
      </c>
      <c r="AE27" s="644">
        <f t="shared" ref="AE27:AE57" si="19">IF(AB27&lt;=12, IF(AB27="", 0, $E$23-AB27), 0)</f>
        <v>0</v>
      </c>
    </row>
    <row r="28" spans="2:31" x14ac:dyDescent="0.2">
      <c r="B28" s="645">
        <v>43832</v>
      </c>
      <c r="C28" s="646">
        <v>-2.7</v>
      </c>
      <c r="D28" s="636">
        <f t="shared" si="2"/>
        <v>22.7</v>
      </c>
      <c r="E28" s="636">
        <f t="shared" si="3"/>
        <v>24.7</v>
      </c>
      <c r="F28" s="637">
        <f t="shared" si="4"/>
        <v>26.129686609686633</v>
      </c>
      <c r="G28" s="647">
        <v>43863</v>
      </c>
      <c r="H28" s="648">
        <v>10.199999999999999</v>
      </c>
      <c r="I28" s="640">
        <f t="shared" si="5"/>
        <v>9.8000000000000007</v>
      </c>
      <c r="J28" s="640">
        <f t="shared" si="6"/>
        <v>11.8</v>
      </c>
      <c r="K28" s="641">
        <f t="shared" si="7"/>
        <v>13.229686609686635</v>
      </c>
      <c r="L28" s="645">
        <v>43892</v>
      </c>
      <c r="M28" s="646">
        <v>8.5</v>
      </c>
      <c r="N28" s="636">
        <f t="shared" si="8"/>
        <v>11.5</v>
      </c>
      <c r="O28" s="636">
        <f t="shared" si="9"/>
        <v>13.5</v>
      </c>
      <c r="P28" s="636">
        <f t="shared" si="10"/>
        <v>14.929686609686634</v>
      </c>
      <c r="Q28" s="647">
        <v>43923</v>
      </c>
      <c r="R28" s="648">
        <v>5.5</v>
      </c>
      <c r="S28" s="642">
        <f t="shared" si="11"/>
        <v>14.5</v>
      </c>
      <c r="T28" s="642">
        <f t="shared" si="12"/>
        <v>16.5</v>
      </c>
      <c r="U28" s="643">
        <f t="shared" si="13"/>
        <v>17.929686609686634</v>
      </c>
      <c r="V28" s="645">
        <v>43953</v>
      </c>
      <c r="W28" s="646">
        <v>12.8</v>
      </c>
      <c r="X28" s="636">
        <f t="shared" si="14"/>
        <v>0</v>
      </c>
      <c r="Y28" s="636">
        <f t="shared" si="15"/>
        <v>0</v>
      </c>
      <c r="Z28" s="637">
        <f t="shared" si="16"/>
        <v>0</v>
      </c>
      <c r="AA28" s="647">
        <v>43984</v>
      </c>
      <c r="AB28" s="648">
        <v>18.899999999999999</v>
      </c>
      <c r="AC28" s="642">
        <f t="shared" si="17"/>
        <v>0</v>
      </c>
      <c r="AD28" s="642">
        <f t="shared" si="18"/>
        <v>0</v>
      </c>
      <c r="AE28" s="644">
        <f t="shared" si="19"/>
        <v>0</v>
      </c>
    </row>
    <row r="29" spans="2:31" x14ac:dyDescent="0.2">
      <c r="B29" s="645">
        <v>43833</v>
      </c>
      <c r="C29" s="646">
        <v>-1</v>
      </c>
      <c r="D29" s="636">
        <f t="shared" si="2"/>
        <v>21</v>
      </c>
      <c r="E29" s="636">
        <f t="shared" si="3"/>
        <v>23</v>
      </c>
      <c r="F29" s="637">
        <f t="shared" si="4"/>
        <v>24.429686609686634</v>
      </c>
      <c r="G29" s="647">
        <v>43864</v>
      </c>
      <c r="H29" s="648">
        <v>10.7</v>
      </c>
      <c r="I29" s="640">
        <f t="shared" si="5"/>
        <v>9.3000000000000007</v>
      </c>
      <c r="J29" s="640">
        <f t="shared" si="6"/>
        <v>11.3</v>
      </c>
      <c r="K29" s="641">
        <f t="shared" si="7"/>
        <v>12.729686609686635</v>
      </c>
      <c r="L29" s="645">
        <v>43893</v>
      </c>
      <c r="M29" s="646">
        <v>6.6</v>
      </c>
      <c r="N29" s="636">
        <f t="shared" si="8"/>
        <v>13.4</v>
      </c>
      <c r="O29" s="636">
        <f t="shared" si="9"/>
        <v>15.4</v>
      </c>
      <c r="P29" s="636">
        <f t="shared" si="10"/>
        <v>16.829686609686632</v>
      </c>
      <c r="Q29" s="647">
        <v>43924</v>
      </c>
      <c r="R29" s="648">
        <v>9.8000000000000007</v>
      </c>
      <c r="S29" s="642">
        <f t="shared" si="11"/>
        <v>10.199999999999999</v>
      </c>
      <c r="T29" s="642">
        <f t="shared" si="12"/>
        <v>12.2</v>
      </c>
      <c r="U29" s="643">
        <f t="shared" si="13"/>
        <v>13.629686609686633</v>
      </c>
      <c r="V29" s="645">
        <v>43954</v>
      </c>
      <c r="W29" s="646">
        <v>12.7</v>
      </c>
      <c r="X29" s="636">
        <f t="shared" si="14"/>
        <v>0</v>
      </c>
      <c r="Y29" s="636">
        <f t="shared" si="15"/>
        <v>0</v>
      </c>
      <c r="Z29" s="637">
        <f t="shared" si="16"/>
        <v>0</v>
      </c>
      <c r="AA29" s="647">
        <v>43985</v>
      </c>
      <c r="AB29" s="648">
        <v>20.100000000000001</v>
      </c>
      <c r="AC29" s="642">
        <f t="shared" si="17"/>
        <v>0</v>
      </c>
      <c r="AD29" s="642">
        <f t="shared" si="18"/>
        <v>0</v>
      </c>
      <c r="AE29" s="644">
        <f t="shared" si="19"/>
        <v>0</v>
      </c>
    </row>
    <row r="30" spans="2:31" x14ac:dyDescent="0.2">
      <c r="B30" s="645">
        <v>43834</v>
      </c>
      <c r="C30" s="646">
        <v>1.6</v>
      </c>
      <c r="D30" s="636">
        <f t="shared" si="2"/>
        <v>18.399999999999999</v>
      </c>
      <c r="E30" s="636">
        <f t="shared" si="3"/>
        <v>20.399999999999999</v>
      </c>
      <c r="F30" s="637">
        <f t="shared" si="4"/>
        <v>21.829686609686632</v>
      </c>
      <c r="G30" s="647">
        <v>43865</v>
      </c>
      <c r="H30" s="648">
        <v>7.6</v>
      </c>
      <c r="I30" s="640">
        <f t="shared" si="5"/>
        <v>12.4</v>
      </c>
      <c r="J30" s="640">
        <f t="shared" si="6"/>
        <v>14.4</v>
      </c>
      <c r="K30" s="641">
        <f t="shared" si="7"/>
        <v>15.829686609686634</v>
      </c>
      <c r="L30" s="645">
        <v>43894</v>
      </c>
      <c r="M30" s="646">
        <v>5.4</v>
      </c>
      <c r="N30" s="636">
        <f t="shared" si="8"/>
        <v>14.6</v>
      </c>
      <c r="O30" s="636">
        <f t="shared" si="9"/>
        <v>16.600000000000001</v>
      </c>
      <c r="P30" s="636">
        <f t="shared" si="10"/>
        <v>18.029686609686635</v>
      </c>
      <c r="Q30" s="647">
        <v>43925</v>
      </c>
      <c r="R30" s="648">
        <v>10.3</v>
      </c>
      <c r="S30" s="642">
        <f t="shared" si="11"/>
        <v>9.6999999999999993</v>
      </c>
      <c r="T30" s="642">
        <f t="shared" si="12"/>
        <v>11.7</v>
      </c>
      <c r="U30" s="643">
        <f t="shared" si="13"/>
        <v>13.129686609686633</v>
      </c>
      <c r="V30" s="645">
        <v>43955</v>
      </c>
      <c r="W30" s="646">
        <v>14.8</v>
      </c>
      <c r="X30" s="636">
        <f t="shared" si="14"/>
        <v>0</v>
      </c>
      <c r="Y30" s="636">
        <f t="shared" si="15"/>
        <v>0</v>
      </c>
      <c r="Z30" s="637">
        <f t="shared" si="16"/>
        <v>0</v>
      </c>
      <c r="AA30" s="647">
        <v>43986</v>
      </c>
      <c r="AB30" s="648">
        <v>16.5</v>
      </c>
      <c r="AC30" s="642">
        <f t="shared" si="17"/>
        <v>0</v>
      </c>
      <c r="AD30" s="642">
        <f t="shared" si="18"/>
        <v>0</v>
      </c>
      <c r="AE30" s="644">
        <f t="shared" si="19"/>
        <v>0</v>
      </c>
    </row>
    <row r="31" spans="2:31" x14ac:dyDescent="0.2">
      <c r="B31" s="645">
        <v>43835</v>
      </c>
      <c r="C31" s="646">
        <v>0.6</v>
      </c>
      <c r="D31" s="636">
        <f t="shared" si="2"/>
        <v>19.399999999999999</v>
      </c>
      <c r="E31" s="636">
        <f t="shared" si="3"/>
        <v>21.4</v>
      </c>
      <c r="F31" s="637">
        <f t="shared" si="4"/>
        <v>22.829686609686632</v>
      </c>
      <c r="G31" s="647">
        <v>43866</v>
      </c>
      <c r="H31" s="648">
        <v>6.1</v>
      </c>
      <c r="I31" s="640">
        <f t="shared" si="5"/>
        <v>13.9</v>
      </c>
      <c r="J31" s="640">
        <f t="shared" si="6"/>
        <v>15.9</v>
      </c>
      <c r="K31" s="641">
        <f t="shared" si="7"/>
        <v>17.329686609686632</v>
      </c>
      <c r="L31" s="645">
        <v>43895</v>
      </c>
      <c r="M31" s="646">
        <v>5.6</v>
      </c>
      <c r="N31" s="636">
        <f t="shared" si="8"/>
        <v>14.4</v>
      </c>
      <c r="O31" s="636">
        <f t="shared" si="9"/>
        <v>16.399999999999999</v>
      </c>
      <c r="P31" s="636">
        <f t="shared" si="10"/>
        <v>17.829686609686632</v>
      </c>
      <c r="Q31" s="647">
        <v>43926</v>
      </c>
      <c r="R31" s="648">
        <v>11.7</v>
      </c>
      <c r="S31" s="642">
        <f t="shared" si="11"/>
        <v>8.3000000000000007</v>
      </c>
      <c r="T31" s="642">
        <f t="shared" si="12"/>
        <v>10.3</v>
      </c>
      <c r="U31" s="643">
        <f t="shared" si="13"/>
        <v>11.729686609686635</v>
      </c>
      <c r="V31" s="645">
        <v>43956</v>
      </c>
      <c r="W31" s="646">
        <v>13.7</v>
      </c>
      <c r="X31" s="636">
        <f t="shared" si="14"/>
        <v>0</v>
      </c>
      <c r="Y31" s="636">
        <f t="shared" si="15"/>
        <v>0</v>
      </c>
      <c r="Z31" s="637">
        <f t="shared" si="16"/>
        <v>0</v>
      </c>
      <c r="AA31" s="647">
        <v>43987</v>
      </c>
      <c r="AB31" s="648">
        <v>14.7</v>
      </c>
      <c r="AC31" s="642">
        <f t="shared" si="17"/>
        <v>0</v>
      </c>
      <c r="AD31" s="642">
        <f t="shared" si="18"/>
        <v>0</v>
      </c>
      <c r="AE31" s="644">
        <f t="shared" si="19"/>
        <v>0</v>
      </c>
    </row>
    <row r="32" spans="2:31" x14ac:dyDescent="0.2">
      <c r="B32" s="645">
        <v>43836</v>
      </c>
      <c r="C32" s="646">
        <v>-1.8</v>
      </c>
      <c r="D32" s="636">
        <f t="shared" si="2"/>
        <v>21.8</v>
      </c>
      <c r="E32" s="636">
        <f t="shared" si="3"/>
        <v>23.8</v>
      </c>
      <c r="F32" s="637">
        <f t="shared" si="4"/>
        <v>25.229686609686635</v>
      </c>
      <c r="G32" s="647">
        <v>43867</v>
      </c>
      <c r="H32" s="648">
        <v>4.2</v>
      </c>
      <c r="I32" s="640">
        <f t="shared" si="5"/>
        <v>15.8</v>
      </c>
      <c r="J32" s="640">
        <f t="shared" si="6"/>
        <v>17.8</v>
      </c>
      <c r="K32" s="641">
        <f t="shared" si="7"/>
        <v>19.229686609686635</v>
      </c>
      <c r="L32" s="645">
        <v>43896</v>
      </c>
      <c r="M32" s="646">
        <v>4.4000000000000004</v>
      </c>
      <c r="N32" s="636">
        <f t="shared" si="8"/>
        <v>15.6</v>
      </c>
      <c r="O32" s="636">
        <f t="shared" si="9"/>
        <v>17.600000000000001</v>
      </c>
      <c r="P32" s="636">
        <f t="shared" si="10"/>
        <v>19.029686609686635</v>
      </c>
      <c r="Q32" s="647">
        <v>43927</v>
      </c>
      <c r="R32" s="648">
        <v>12.3</v>
      </c>
      <c r="S32" s="642">
        <f t="shared" si="11"/>
        <v>0</v>
      </c>
      <c r="T32" s="642">
        <f t="shared" si="12"/>
        <v>0</v>
      </c>
      <c r="U32" s="643">
        <f t="shared" si="13"/>
        <v>0</v>
      </c>
      <c r="V32" s="645">
        <v>43957</v>
      </c>
      <c r="W32" s="646">
        <v>11.5</v>
      </c>
      <c r="X32" s="636">
        <f t="shared" si="14"/>
        <v>8.5</v>
      </c>
      <c r="Y32" s="636">
        <f t="shared" si="15"/>
        <v>10.5</v>
      </c>
      <c r="Z32" s="637">
        <f t="shared" si="16"/>
        <v>11.929686609686634</v>
      </c>
      <c r="AA32" s="647">
        <v>43988</v>
      </c>
      <c r="AB32" s="648">
        <v>18.399999999999999</v>
      </c>
      <c r="AC32" s="642">
        <f t="shared" si="17"/>
        <v>0</v>
      </c>
      <c r="AD32" s="642">
        <f t="shared" si="18"/>
        <v>0</v>
      </c>
      <c r="AE32" s="644">
        <f t="shared" si="19"/>
        <v>0</v>
      </c>
    </row>
    <row r="33" spans="2:31" x14ac:dyDescent="0.2">
      <c r="B33" s="645">
        <v>43837</v>
      </c>
      <c r="C33" s="646">
        <v>-1.8</v>
      </c>
      <c r="D33" s="636">
        <f t="shared" si="2"/>
        <v>21.8</v>
      </c>
      <c r="E33" s="636">
        <f t="shared" si="3"/>
        <v>23.8</v>
      </c>
      <c r="F33" s="637">
        <f t="shared" si="4"/>
        <v>25.229686609686635</v>
      </c>
      <c r="G33" s="647">
        <v>43868</v>
      </c>
      <c r="H33" s="648">
        <v>1.8</v>
      </c>
      <c r="I33" s="640">
        <f t="shared" si="5"/>
        <v>18.2</v>
      </c>
      <c r="J33" s="640">
        <f t="shared" si="6"/>
        <v>20.2</v>
      </c>
      <c r="K33" s="641">
        <f t="shared" si="7"/>
        <v>21.629686609686633</v>
      </c>
      <c r="L33" s="645">
        <v>43897</v>
      </c>
      <c r="M33" s="646">
        <v>7.6</v>
      </c>
      <c r="N33" s="636">
        <f t="shared" si="8"/>
        <v>12.4</v>
      </c>
      <c r="O33" s="636">
        <f t="shared" si="9"/>
        <v>14.4</v>
      </c>
      <c r="P33" s="636">
        <f t="shared" si="10"/>
        <v>15.829686609686634</v>
      </c>
      <c r="Q33" s="647">
        <v>43928</v>
      </c>
      <c r="R33" s="648">
        <v>11.6</v>
      </c>
      <c r="S33" s="642">
        <f t="shared" si="11"/>
        <v>8.4</v>
      </c>
      <c r="T33" s="642">
        <f t="shared" si="12"/>
        <v>10.4</v>
      </c>
      <c r="U33" s="643">
        <f t="shared" si="13"/>
        <v>11.829686609686634</v>
      </c>
      <c r="V33" s="645">
        <v>43958</v>
      </c>
      <c r="W33" s="646">
        <v>15.4</v>
      </c>
      <c r="X33" s="636">
        <f t="shared" si="14"/>
        <v>0</v>
      </c>
      <c r="Y33" s="636">
        <f t="shared" si="15"/>
        <v>0</v>
      </c>
      <c r="Z33" s="637">
        <f t="shared" si="16"/>
        <v>0</v>
      </c>
      <c r="AA33" s="647">
        <v>43989</v>
      </c>
      <c r="AB33" s="648">
        <v>18</v>
      </c>
      <c r="AC33" s="642">
        <f t="shared" si="17"/>
        <v>0</v>
      </c>
      <c r="AD33" s="642">
        <f t="shared" si="18"/>
        <v>0</v>
      </c>
      <c r="AE33" s="644">
        <f t="shared" si="19"/>
        <v>0</v>
      </c>
    </row>
    <row r="34" spans="2:31" x14ac:dyDescent="0.2">
      <c r="B34" s="645">
        <v>43838</v>
      </c>
      <c r="C34" s="646">
        <v>-1.3</v>
      </c>
      <c r="D34" s="636">
        <f t="shared" si="2"/>
        <v>21.3</v>
      </c>
      <c r="E34" s="636">
        <f t="shared" si="3"/>
        <v>23.3</v>
      </c>
      <c r="F34" s="637">
        <f t="shared" si="4"/>
        <v>24.729686609686635</v>
      </c>
      <c r="G34" s="647">
        <v>43869</v>
      </c>
      <c r="H34" s="648">
        <v>1.7</v>
      </c>
      <c r="I34" s="640">
        <f t="shared" si="5"/>
        <v>18.3</v>
      </c>
      <c r="J34" s="640">
        <f t="shared" si="6"/>
        <v>20.3</v>
      </c>
      <c r="K34" s="641">
        <f t="shared" si="7"/>
        <v>21.729686609686635</v>
      </c>
      <c r="L34" s="645">
        <v>43898</v>
      </c>
      <c r="M34" s="646">
        <v>5</v>
      </c>
      <c r="N34" s="636">
        <f t="shared" si="8"/>
        <v>15</v>
      </c>
      <c r="O34" s="636">
        <f t="shared" si="9"/>
        <v>17</v>
      </c>
      <c r="P34" s="636">
        <f t="shared" si="10"/>
        <v>18.429686609686634</v>
      </c>
      <c r="Q34" s="647">
        <v>43929</v>
      </c>
      <c r="R34" s="648">
        <v>11.5</v>
      </c>
      <c r="S34" s="642">
        <f t="shared" si="11"/>
        <v>8.5</v>
      </c>
      <c r="T34" s="642">
        <f t="shared" si="12"/>
        <v>10.5</v>
      </c>
      <c r="U34" s="643">
        <f t="shared" si="13"/>
        <v>11.929686609686634</v>
      </c>
      <c r="V34" s="645">
        <v>43959</v>
      </c>
      <c r="W34" s="646">
        <v>17.7</v>
      </c>
      <c r="X34" s="636">
        <f t="shared" si="14"/>
        <v>0</v>
      </c>
      <c r="Y34" s="636">
        <f t="shared" si="15"/>
        <v>0</v>
      </c>
      <c r="Z34" s="637">
        <f t="shared" si="16"/>
        <v>0</v>
      </c>
      <c r="AA34" s="647">
        <v>43990</v>
      </c>
      <c r="AB34" s="648">
        <v>14.7</v>
      </c>
      <c r="AC34" s="642">
        <f t="shared" si="17"/>
        <v>0</v>
      </c>
      <c r="AD34" s="642">
        <f t="shared" si="18"/>
        <v>0</v>
      </c>
      <c r="AE34" s="644">
        <f t="shared" si="19"/>
        <v>0</v>
      </c>
    </row>
    <row r="35" spans="2:31" x14ac:dyDescent="0.2">
      <c r="B35" s="645">
        <v>43839</v>
      </c>
      <c r="C35" s="646">
        <v>1</v>
      </c>
      <c r="D35" s="636">
        <f t="shared" si="2"/>
        <v>19</v>
      </c>
      <c r="E35" s="636">
        <f t="shared" si="3"/>
        <v>21</v>
      </c>
      <c r="F35" s="637">
        <f t="shared" si="4"/>
        <v>22.429686609686634</v>
      </c>
      <c r="G35" s="647">
        <v>43870</v>
      </c>
      <c r="H35" s="648">
        <v>5.3</v>
      </c>
      <c r="I35" s="640">
        <f t="shared" si="5"/>
        <v>14.7</v>
      </c>
      <c r="J35" s="640">
        <f t="shared" si="6"/>
        <v>16.7</v>
      </c>
      <c r="K35" s="641">
        <f t="shared" si="7"/>
        <v>18.129686609686633</v>
      </c>
      <c r="L35" s="645">
        <v>43899</v>
      </c>
      <c r="M35" s="646">
        <v>6.6</v>
      </c>
      <c r="N35" s="636">
        <f t="shared" si="8"/>
        <v>13.4</v>
      </c>
      <c r="O35" s="636">
        <f t="shared" si="9"/>
        <v>15.4</v>
      </c>
      <c r="P35" s="636">
        <f t="shared" si="10"/>
        <v>16.829686609686632</v>
      </c>
      <c r="Q35" s="647">
        <v>43930</v>
      </c>
      <c r="R35" s="648">
        <v>13.4</v>
      </c>
      <c r="S35" s="642">
        <f t="shared" si="11"/>
        <v>0</v>
      </c>
      <c r="T35" s="642">
        <f t="shared" si="12"/>
        <v>0</v>
      </c>
      <c r="U35" s="643">
        <f t="shared" si="13"/>
        <v>0</v>
      </c>
      <c r="V35" s="645">
        <v>43960</v>
      </c>
      <c r="W35" s="646">
        <v>18.100000000000001</v>
      </c>
      <c r="X35" s="636">
        <f t="shared" si="14"/>
        <v>0</v>
      </c>
      <c r="Y35" s="636">
        <f t="shared" si="15"/>
        <v>0</v>
      </c>
      <c r="Z35" s="637">
        <f t="shared" si="16"/>
        <v>0</v>
      </c>
      <c r="AA35" s="647">
        <v>43991</v>
      </c>
      <c r="AB35" s="648">
        <v>15.7</v>
      </c>
      <c r="AC35" s="642">
        <f t="shared" si="17"/>
        <v>0</v>
      </c>
      <c r="AD35" s="642">
        <f t="shared" si="18"/>
        <v>0</v>
      </c>
      <c r="AE35" s="644">
        <f t="shared" si="19"/>
        <v>0</v>
      </c>
    </row>
    <row r="36" spans="2:31" x14ac:dyDescent="0.2">
      <c r="B36" s="645">
        <v>43840</v>
      </c>
      <c r="C36" s="646">
        <v>2.9</v>
      </c>
      <c r="D36" s="636">
        <f t="shared" si="2"/>
        <v>17.100000000000001</v>
      </c>
      <c r="E36" s="636">
        <f t="shared" si="3"/>
        <v>19.100000000000001</v>
      </c>
      <c r="F36" s="637">
        <f t="shared" si="4"/>
        <v>20.529686609686635</v>
      </c>
      <c r="G36" s="647">
        <v>43871</v>
      </c>
      <c r="H36" s="648">
        <v>9.4</v>
      </c>
      <c r="I36" s="640">
        <f t="shared" si="5"/>
        <v>10.6</v>
      </c>
      <c r="J36" s="640">
        <f t="shared" si="6"/>
        <v>12.6</v>
      </c>
      <c r="K36" s="641">
        <f t="shared" si="7"/>
        <v>14.029686609686634</v>
      </c>
      <c r="L36" s="645">
        <v>43900</v>
      </c>
      <c r="M36" s="646">
        <v>7.8</v>
      </c>
      <c r="N36" s="636">
        <f t="shared" si="8"/>
        <v>12.2</v>
      </c>
      <c r="O36" s="636">
        <f t="shared" si="9"/>
        <v>14.2</v>
      </c>
      <c r="P36" s="636">
        <f t="shared" si="10"/>
        <v>15.629686609686633</v>
      </c>
      <c r="Q36" s="647">
        <v>43931</v>
      </c>
      <c r="R36" s="648">
        <v>16</v>
      </c>
      <c r="S36" s="642">
        <f t="shared" si="11"/>
        <v>0</v>
      </c>
      <c r="T36" s="642">
        <f t="shared" si="12"/>
        <v>0</v>
      </c>
      <c r="U36" s="643">
        <f t="shared" si="13"/>
        <v>0</v>
      </c>
      <c r="V36" s="645">
        <v>43961</v>
      </c>
      <c r="W36" s="646">
        <v>18.399999999999999</v>
      </c>
      <c r="X36" s="636">
        <f t="shared" si="14"/>
        <v>0</v>
      </c>
      <c r="Y36" s="636">
        <f t="shared" si="15"/>
        <v>0</v>
      </c>
      <c r="Z36" s="637">
        <f t="shared" si="16"/>
        <v>0</v>
      </c>
      <c r="AA36" s="647">
        <v>43992</v>
      </c>
      <c r="AB36" s="648">
        <v>16.5</v>
      </c>
      <c r="AC36" s="642">
        <f t="shared" si="17"/>
        <v>0</v>
      </c>
      <c r="AD36" s="642">
        <f t="shared" si="18"/>
        <v>0</v>
      </c>
      <c r="AE36" s="644">
        <f t="shared" si="19"/>
        <v>0</v>
      </c>
    </row>
    <row r="37" spans="2:31" x14ac:dyDescent="0.2">
      <c r="B37" s="645">
        <v>43841</v>
      </c>
      <c r="C37" s="646">
        <v>1.6</v>
      </c>
      <c r="D37" s="636">
        <f t="shared" si="2"/>
        <v>18.399999999999999</v>
      </c>
      <c r="E37" s="636">
        <f t="shared" si="3"/>
        <v>20.399999999999999</v>
      </c>
      <c r="F37" s="637">
        <f t="shared" si="4"/>
        <v>21.829686609686632</v>
      </c>
      <c r="G37" s="647">
        <v>43872</v>
      </c>
      <c r="H37" s="648">
        <v>9.1999999999999993</v>
      </c>
      <c r="I37" s="640">
        <f t="shared" si="5"/>
        <v>10.8</v>
      </c>
      <c r="J37" s="640">
        <f t="shared" si="6"/>
        <v>12.8</v>
      </c>
      <c r="K37" s="641">
        <f t="shared" si="7"/>
        <v>14.229686609686635</v>
      </c>
      <c r="L37" s="645">
        <v>43901</v>
      </c>
      <c r="M37" s="646">
        <v>11</v>
      </c>
      <c r="N37" s="636">
        <f t="shared" si="8"/>
        <v>9</v>
      </c>
      <c r="O37" s="636">
        <f t="shared" si="9"/>
        <v>11</v>
      </c>
      <c r="P37" s="636">
        <f t="shared" si="10"/>
        <v>12.429686609686634</v>
      </c>
      <c r="Q37" s="647">
        <v>43932</v>
      </c>
      <c r="R37" s="648">
        <v>16.899999999999999</v>
      </c>
      <c r="S37" s="642">
        <f t="shared" si="11"/>
        <v>0</v>
      </c>
      <c r="T37" s="642">
        <f t="shared" si="12"/>
        <v>0</v>
      </c>
      <c r="U37" s="643">
        <f t="shared" si="13"/>
        <v>0</v>
      </c>
      <c r="V37" s="645">
        <v>43962</v>
      </c>
      <c r="W37" s="646">
        <v>15.7</v>
      </c>
      <c r="X37" s="636">
        <f t="shared" si="14"/>
        <v>0</v>
      </c>
      <c r="Y37" s="636">
        <f t="shared" si="15"/>
        <v>0</v>
      </c>
      <c r="Z37" s="637">
        <f t="shared" si="16"/>
        <v>0</v>
      </c>
      <c r="AA37" s="647">
        <v>43993</v>
      </c>
      <c r="AB37" s="648">
        <v>17.600000000000001</v>
      </c>
      <c r="AC37" s="642">
        <f t="shared" si="17"/>
        <v>0</v>
      </c>
      <c r="AD37" s="642">
        <f t="shared" si="18"/>
        <v>0</v>
      </c>
      <c r="AE37" s="644">
        <f t="shared" si="19"/>
        <v>0</v>
      </c>
    </row>
    <row r="38" spans="2:31" x14ac:dyDescent="0.2">
      <c r="B38" s="645">
        <v>43842</v>
      </c>
      <c r="C38" s="646">
        <v>2</v>
      </c>
      <c r="D38" s="636">
        <f t="shared" si="2"/>
        <v>18</v>
      </c>
      <c r="E38" s="636">
        <f t="shared" si="3"/>
        <v>20</v>
      </c>
      <c r="F38" s="637">
        <f t="shared" si="4"/>
        <v>21.429686609686634</v>
      </c>
      <c r="G38" s="647">
        <v>43873</v>
      </c>
      <c r="H38" s="648">
        <v>5.5</v>
      </c>
      <c r="I38" s="640">
        <f t="shared" si="5"/>
        <v>14.5</v>
      </c>
      <c r="J38" s="640">
        <f t="shared" si="6"/>
        <v>16.5</v>
      </c>
      <c r="K38" s="641">
        <f t="shared" si="7"/>
        <v>17.929686609686634</v>
      </c>
      <c r="L38" s="645">
        <v>43902</v>
      </c>
      <c r="M38" s="646">
        <v>11.4</v>
      </c>
      <c r="N38" s="636">
        <f t="shared" si="8"/>
        <v>8.6</v>
      </c>
      <c r="O38" s="636">
        <f t="shared" si="9"/>
        <v>10.6</v>
      </c>
      <c r="P38" s="636">
        <f t="shared" si="10"/>
        <v>12.029686609686634</v>
      </c>
      <c r="Q38" s="647">
        <v>43933</v>
      </c>
      <c r="R38" s="648">
        <v>17</v>
      </c>
      <c r="S38" s="642">
        <f t="shared" si="11"/>
        <v>0</v>
      </c>
      <c r="T38" s="642">
        <f t="shared" si="12"/>
        <v>0</v>
      </c>
      <c r="U38" s="643">
        <f t="shared" si="13"/>
        <v>0</v>
      </c>
      <c r="V38" s="645">
        <v>43963</v>
      </c>
      <c r="W38" s="646">
        <v>9.1</v>
      </c>
      <c r="X38" s="636">
        <f t="shared" si="14"/>
        <v>10.9</v>
      </c>
      <c r="Y38" s="636">
        <f t="shared" si="15"/>
        <v>12.9</v>
      </c>
      <c r="Z38" s="637">
        <f t="shared" si="16"/>
        <v>14.329686609686634</v>
      </c>
      <c r="AA38" s="647">
        <v>43994</v>
      </c>
      <c r="AB38" s="648">
        <v>19.2</v>
      </c>
      <c r="AC38" s="642">
        <f t="shared" si="17"/>
        <v>0</v>
      </c>
      <c r="AD38" s="642">
        <f t="shared" si="18"/>
        <v>0</v>
      </c>
      <c r="AE38" s="644">
        <f t="shared" si="19"/>
        <v>0</v>
      </c>
    </row>
    <row r="39" spans="2:31" x14ac:dyDescent="0.2">
      <c r="B39" s="645">
        <v>43843</v>
      </c>
      <c r="C39" s="646">
        <v>-0.7</v>
      </c>
      <c r="D39" s="636">
        <f t="shared" si="2"/>
        <v>20.7</v>
      </c>
      <c r="E39" s="636">
        <f t="shared" si="3"/>
        <v>22.7</v>
      </c>
      <c r="F39" s="637">
        <f t="shared" si="4"/>
        <v>24.129686609686633</v>
      </c>
      <c r="G39" s="647">
        <v>43874</v>
      </c>
      <c r="H39" s="648">
        <v>6.6</v>
      </c>
      <c r="I39" s="640">
        <f t="shared" si="5"/>
        <v>13.4</v>
      </c>
      <c r="J39" s="640">
        <f t="shared" si="6"/>
        <v>15.4</v>
      </c>
      <c r="K39" s="641">
        <f t="shared" si="7"/>
        <v>16.829686609686632</v>
      </c>
      <c r="L39" s="645">
        <v>43903</v>
      </c>
      <c r="M39" s="646">
        <v>8.3000000000000007</v>
      </c>
      <c r="N39" s="636">
        <f t="shared" si="8"/>
        <v>11.7</v>
      </c>
      <c r="O39" s="636">
        <f t="shared" si="9"/>
        <v>13.7</v>
      </c>
      <c r="P39" s="636">
        <f t="shared" si="10"/>
        <v>15.129686609686633</v>
      </c>
      <c r="Q39" s="647">
        <v>43934</v>
      </c>
      <c r="R39" s="648">
        <v>15.6</v>
      </c>
      <c r="S39" s="642">
        <f t="shared" si="11"/>
        <v>0</v>
      </c>
      <c r="T39" s="642">
        <f t="shared" si="12"/>
        <v>0</v>
      </c>
      <c r="U39" s="643">
        <f t="shared" si="13"/>
        <v>0</v>
      </c>
      <c r="V39" s="645">
        <v>43964</v>
      </c>
      <c r="W39" s="646">
        <v>14.4</v>
      </c>
      <c r="X39" s="636">
        <f t="shared" si="14"/>
        <v>0</v>
      </c>
      <c r="Y39" s="636">
        <f t="shared" si="15"/>
        <v>0</v>
      </c>
      <c r="Z39" s="637">
        <f t="shared" si="16"/>
        <v>0</v>
      </c>
      <c r="AA39" s="647">
        <v>43995</v>
      </c>
      <c r="AB39" s="648">
        <v>21.5</v>
      </c>
      <c r="AC39" s="642">
        <f t="shared" si="17"/>
        <v>0</v>
      </c>
      <c r="AD39" s="642">
        <f t="shared" si="18"/>
        <v>0</v>
      </c>
      <c r="AE39" s="644">
        <f t="shared" si="19"/>
        <v>0</v>
      </c>
    </row>
    <row r="40" spans="2:31" x14ac:dyDescent="0.2">
      <c r="B40" s="645">
        <v>43844</v>
      </c>
      <c r="C40" s="646">
        <v>3.4</v>
      </c>
      <c r="D40" s="636">
        <f t="shared" si="2"/>
        <v>16.600000000000001</v>
      </c>
      <c r="E40" s="636">
        <f t="shared" si="3"/>
        <v>18.600000000000001</v>
      </c>
      <c r="F40" s="637">
        <f t="shared" si="4"/>
        <v>20.029686609686635</v>
      </c>
      <c r="G40" s="647">
        <v>43875</v>
      </c>
      <c r="H40" s="648">
        <v>7.8</v>
      </c>
      <c r="I40" s="640">
        <f t="shared" si="5"/>
        <v>12.2</v>
      </c>
      <c r="J40" s="640">
        <f t="shared" si="6"/>
        <v>14.2</v>
      </c>
      <c r="K40" s="641">
        <f t="shared" si="7"/>
        <v>15.629686609686633</v>
      </c>
      <c r="L40" s="645">
        <v>43904</v>
      </c>
      <c r="M40" s="646">
        <v>8.5</v>
      </c>
      <c r="N40" s="636">
        <f t="shared" si="8"/>
        <v>11.5</v>
      </c>
      <c r="O40" s="636">
        <f t="shared" si="9"/>
        <v>13.5</v>
      </c>
      <c r="P40" s="636">
        <f t="shared" si="10"/>
        <v>14.929686609686634</v>
      </c>
      <c r="Q40" s="647">
        <v>43935</v>
      </c>
      <c r="R40" s="648">
        <v>5.4</v>
      </c>
      <c r="S40" s="642">
        <f t="shared" si="11"/>
        <v>14.6</v>
      </c>
      <c r="T40" s="642">
        <f t="shared" si="12"/>
        <v>16.600000000000001</v>
      </c>
      <c r="U40" s="643">
        <f t="shared" si="13"/>
        <v>18.029686609686635</v>
      </c>
      <c r="V40" s="645">
        <v>43965</v>
      </c>
      <c r="W40" s="646">
        <v>18.7</v>
      </c>
      <c r="X40" s="636">
        <f t="shared" si="14"/>
        <v>0</v>
      </c>
      <c r="Y40" s="636">
        <f t="shared" si="15"/>
        <v>0</v>
      </c>
      <c r="Z40" s="637">
        <f t="shared" si="16"/>
        <v>0</v>
      </c>
      <c r="AA40" s="647">
        <v>43996</v>
      </c>
      <c r="AB40" s="648">
        <v>20.7</v>
      </c>
      <c r="AC40" s="642">
        <f t="shared" si="17"/>
        <v>0</v>
      </c>
      <c r="AD40" s="642">
        <f t="shared" si="18"/>
        <v>0</v>
      </c>
      <c r="AE40" s="644">
        <f t="shared" si="19"/>
        <v>0</v>
      </c>
    </row>
    <row r="41" spans="2:31" x14ac:dyDescent="0.2">
      <c r="B41" s="645">
        <v>43845</v>
      </c>
      <c r="C41" s="646">
        <v>4.4000000000000004</v>
      </c>
      <c r="D41" s="636">
        <f t="shared" si="2"/>
        <v>15.6</v>
      </c>
      <c r="E41" s="636">
        <f t="shared" si="3"/>
        <v>17.600000000000001</v>
      </c>
      <c r="F41" s="637">
        <f t="shared" si="4"/>
        <v>19.029686609686635</v>
      </c>
      <c r="G41" s="647">
        <v>43876</v>
      </c>
      <c r="H41" s="648">
        <v>5.4</v>
      </c>
      <c r="I41" s="640">
        <f t="shared" si="5"/>
        <v>14.6</v>
      </c>
      <c r="J41" s="640">
        <f t="shared" si="6"/>
        <v>16.600000000000001</v>
      </c>
      <c r="K41" s="641">
        <f t="shared" si="7"/>
        <v>18.029686609686635</v>
      </c>
      <c r="L41" s="645">
        <v>43905</v>
      </c>
      <c r="M41" s="646">
        <v>5.6</v>
      </c>
      <c r="N41" s="636">
        <f t="shared" si="8"/>
        <v>14.4</v>
      </c>
      <c r="O41" s="636">
        <f t="shared" si="9"/>
        <v>16.399999999999999</v>
      </c>
      <c r="P41" s="636">
        <f t="shared" si="10"/>
        <v>17.829686609686632</v>
      </c>
      <c r="Q41" s="647">
        <v>43936</v>
      </c>
      <c r="R41" s="648">
        <v>7.7</v>
      </c>
      <c r="S41" s="642">
        <f t="shared" si="11"/>
        <v>12.3</v>
      </c>
      <c r="T41" s="642">
        <f t="shared" si="12"/>
        <v>14.3</v>
      </c>
      <c r="U41" s="643">
        <f t="shared" si="13"/>
        <v>15.729686609686635</v>
      </c>
      <c r="V41" s="645">
        <v>43966</v>
      </c>
      <c r="W41" s="646">
        <v>13.3</v>
      </c>
      <c r="X41" s="636">
        <f t="shared" si="14"/>
        <v>0</v>
      </c>
      <c r="Y41" s="636">
        <f t="shared" si="15"/>
        <v>0</v>
      </c>
      <c r="Z41" s="637">
        <f t="shared" si="16"/>
        <v>0</v>
      </c>
      <c r="AA41" s="647">
        <v>43997</v>
      </c>
      <c r="AB41" s="648">
        <v>17.899999999999999</v>
      </c>
      <c r="AC41" s="642">
        <f t="shared" si="17"/>
        <v>0</v>
      </c>
      <c r="AD41" s="642">
        <f t="shared" si="18"/>
        <v>0</v>
      </c>
      <c r="AE41" s="644">
        <f t="shared" si="19"/>
        <v>0</v>
      </c>
    </row>
    <row r="42" spans="2:31" x14ac:dyDescent="0.2">
      <c r="B42" s="645">
        <v>43846</v>
      </c>
      <c r="C42" s="646">
        <v>3.9</v>
      </c>
      <c r="D42" s="636">
        <f t="shared" si="2"/>
        <v>16.100000000000001</v>
      </c>
      <c r="E42" s="636">
        <f t="shared" si="3"/>
        <v>18.100000000000001</v>
      </c>
      <c r="F42" s="637">
        <f t="shared" si="4"/>
        <v>19.529686609686635</v>
      </c>
      <c r="G42" s="647">
        <v>43877</v>
      </c>
      <c r="H42" s="648">
        <v>7.6</v>
      </c>
      <c r="I42" s="640">
        <f t="shared" si="5"/>
        <v>12.4</v>
      </c>
      <c r="J42" s="640">
        <f t="shared" si="6"/>
        <v>14.4</v>
      </c>
      <c r="K42" s="641">
        <f t="shared" si="7"/>
        <v>15.829686609686634</v>
      </c>
      <c r="L42" s="645">
        <v>43906</v>
      </c>
      <c r="M42" s="646">
        <v>7.4</v>
      </c>
      <c r="N42" s="636">
        <f t="shared" si="8"/>
        <v>12.6</v>
      </c>
      <c r="O42" s="636">
        <f t="shared" si="9"/>
        <v>14.6</v>
      </c>
      <c r="P42" s="636">
        <f t="shared" si="10"/>
        <v>16.029686609686635</v>
      </c>
      <c r="Q42" s="649">
        <v>43937</v>
      </c>
      <c r="R42" s="650">
        <v>12.9</v>
      </c>
      <c r="S42" s="651">
        <f t="shared" si="11"/>
        <v>0</v>
      </c>
      <c r="T42" s="651">
        <f t="shared" si="12"/>
        <v>0</v>
      </c>
      <c r="U42" s="652">
        <f t="shared" si="13"/>
        <v>0</v>
      </c>
      <c r="V42" s="645">
        <v>43967</v>
      </c>
      <c r="W42" s="646">
        <v>12.2</v>
      </c>
      <c r="X42" s="636">
        <f t="shared" si="14"/>
        <v>0</v>
      </c>
      <c r="Y42" s="636">
        <f t="shared" si="15"/>
        <v>0</v>
      </c>
      <c r="Z42" s="637">
        <f t="shared" si="16"/>
        <v>0</v>
      </c>
      <c r="AA42" s="647">
        <v>43998</v>
      </c>
      <c r="AB42" s="648">
        <v>19.7</v>
      </c>
      <c r="AC42" s="642">
        <f t="shared" si="17"/>
        <v>0</v>
      </c>
      <c r="AD42" s="642">
        <f t="shared" si="18"/>
        <v>0</v>
      </c>
      <c r="AE42" s="644">
        <f t="shared" si="19"/>
        <v>0</v>
      </c>
    </row>
    <row r="43" spans="2:31" x14ac:dyDescent="0.2">
      <c r="B43" s="645">
        <v>43847</v>
      </c>
      <c r="C43" s="646">
        <v>2</v>
      </c>
      <c r="D43" s="636">
        <f t="shared" si="2"/>
        <v>18</v>
      </c>
      <c r="E43" s="636">
        <f t="shared" si="3"/>
        <v>20</v>
      </c>
      <c r="F43" s="637">
        <f t="shared" si="4"/>
        <v>21.429686609686634</v>
      </c>
      <c r="G43" s="647">
        <v>43878</v>
      </c>
      <c r="H43" s="648">
        <v>9.6</v>
      </c>
      <c r="I43" s="640">
        <f t="shared" si="5"/>
        <v>10.4</v>
      </c>
      <c r="J43" s="640">
        <f t="shared" si="6"/>
        <v>12.4</v>
      </c>
      <c r="K43" s="641">
        <f t="shared" si="7"/>
        <v>13.829686609686634</v>
      </c>
      <c r="L43" s="645">
        <v>43907</v>
      </c>
      <c r="M43" s="646">
        <v>10.9</v>
      </c>
      <c r="N43" s="636">
        <f t="shared" si="8"/>
        <v>9.1</v>
      </c>
      <c r="O43" s="636">
        <f t="shared" si="9"/>
        <v>11.1</v>
      </c>
      <c r="P43" s="636">
        <f t="shared" si="10"/>
        <v>12.529686609686634</v>
      </c>
      <c r="Q43" s="647">
        <v>43938</v>
      </c>
      <c r="R43" s="648">
        <v>15.6</v>
      </c>
      <c r="S43" s="642">
        <f t="shared" si="11"/>
        <v>0</v>
      </c>
      <c r="T43" s="642">
        <f t="shared" si="12"/>
        <v>0</v>
      </c>
      <c r="U43" s="643">
        <f t="shared" si="13"/>
        <v>0</v>
      </c>
      <c r="V43" s="645">
        <v>43968</v>
      </c>
      <c r="W43" s="646">
        <v>16.399999999999999</v>
      </c>
      <c r="X43" s="636">
        <f t="shared" si="14"/>
        <v>0</v>
      </c>
      <c r="Y43" s="636">
        <f t="shared" si="15"/>
        <v>0</v>
      </c>
      <c r="Z43" s="637">
        <f t="shared" si="16"/>
        <v>0</v>
      </c>
      <c r="AA43" s="647">
        <v>43999</v>
      </c>
      <c r="AB43" s="648">
        <v>20.100000000000001</v>
      </c>
      <c r="AC43" s="642">
        <f t="shared" si="17"/>
        <v>0</v>
      </c>
      <c r="AD43" s="642">
        <f t="shared" si="18"/>
        <v>0</v>
      </c>
      <c r="AE43" s="644">
        <f t="shared" si="19"/>
        <v>0</v>
      </c>
    </row>
    <row r="44" spans="2:31" x14ac:dyDescent="0.2">
      <c r="B44" s="645">
        <v>43848</v>
      </c>
      <c r="C44" s="646">
        <v>1.1000000000000001</v>
      </c>
      <c r="D44" s="636">
        <f t="shared" si="2"/>
        <v>18.899999999999999</v>
      </c>
      <c r="E44" s="636">
        <f t="shared" si="3"/>
        <v>20.9</v>
      </c>
      <c r="F44" s="637">
        <f t="shared" si="4"/>
        <v>22.329686609686632</v>
      </c>
      <c r="G44" s="647">
        <v>43879</v>
      </c>
      <c r="H44" s="648">
        <v>8.6</v>
      </c>
      <c r="I44" s="640">
        <f t="shared" si="5"/>
        <v>11.4</v>
      </c>
      <c r="J44" s="640">
        <f t="shared" si="6"/>
        <v>13.4</v>
      </c>
      <c r="K44" s="641">
        <f t="shared" si="7"/>
        <v>14.829686609686634</v>
      </c>
      <c r="L44" s="645">
        <v>43908</v>
      </c>
      <c r="M44" s="646">
        <v>11.9</v>
      </c>
      <c r="N44" s="636">
        <f t="shared" si="8"/>
        <v>8.1</v>
      </c>
      <c r="O44" s="636">
        <f t="shared" si="9"/>
        <v>10.1</v>
      </c>
      <c r="P44" s="636">
        <f t="shared" si="10"/>
        <v>11.529686609686634</v>
      </c>
      <c r="Q44" s="647">
        <v>43939</v>
      </c>
      <c r="R44" s="648">
        <v>16.7</v>
      </c>
      <c r="S44" s="642">
        <f t="shared" si="11"/>
        <v>0</v>
      </c>
      <c r="T44" s="642">
        <f t="shared" si="12"/>
        <v>0</v>
      </c>
      <c r="U44" s="643">
        <f t="shared" si="13"/>
        <v>0</v>
      </c>
      <c r="V44" s="645">
        <v>43969</v>
      </c>
      <c r="W44" s="646">
        <v>17.3</v>
      </c>
      <c r="X44" s="636">
        <f t="shared" si="14"/>
        <v>0</v>
      </c>
      <c r="Y44" s="636">
        <f t="shared" si="15"/>
        <v>0</v>
      </c>
      <c r="Z44" s="637">
        <f t="shared" si="16"/>
        <v>0</v>
      </c>
      <c r="AA44" s="647">
        <v>44000</v>
      </c>
      <c r="AB44" s="648">
        <v>21.1</v>
      </c>
      <c r="AC44" s="642">
        <f t="shared" si="17"/>
        <v>0</v>
      </c>
      <c r="AD44" s="642">
        <f t="shared" si="18"/>
        <v>0</v>
      </c>
      <c r="AE44" s="644">
        <f t="shared" si="19"/>
        <v>0</v>
      </c>
    </row>
    <row r="45" spans="2:31" x14ac:dyDescent="0.2">
      <c r="B45" s="645">
        <v>43849</v>
      </c>
      <c r="C45" s="646">
        <v>2.2000000000000002</v>
      </c>
      <c r="D45" s="636">
        <f t="shared" si="2"/>
        <v>17.8</v>
      </c>
      <c r="E45" s="636">
        <f t="shared" si="3"/>
        <v>19.8</v>
      </c>
      <c r="F45" s="637">
        <f t="shared" si="4"/>
        <v>21.229686609686635</v>
      </c>
      <c r="G45" s="647">
        <v>43880</v>
      </c>
      <c r="H45" s="648">
        <v>6.8</v>
      </c>
      <c r="I45" s="640">
        <f t="shared" si="5"/>
        <v>13.2</v>
      </c>
      <c r="J45" s="640">
        <f t="shared" si="6"/>
        <v>15.2</v>
      </c>
      <c r="K45" s="641">
        <f t="shared" si="7"/>
        <v>16.629686609686633</v>
      </c>
      <c r="L45" s="645">
        <v>43909</v>
      </c>
      <c r="M45" s="646">
        <v>13</v>
      </c>
      <c r="N45" s="636">
        <f t="shared" si="8"/>
        <v>0</v>
      </c>
      <c r="O45" s="636">
        <f t="shared" si="9"/>
        <v>0</v>
      </c>
      <c r="P45" s="636">
        <f t="shared" si="10"/>
        <v>0</v>
      </c>
      <c r="Q45" s="647">
        <v>43940</v>
      </c>
      <c r="R45" s="648">
        <v>17.3</v>
      </c>
      <c r="S45" s="642">
        <f t="shared" si="11"/>
        <v>0</v>
      </c>
      <c r="T45" s="642">
        <f t="shared" si="12"/>
        <v>0</v>
      </c>
      <c r="U45" s="643">
        <f t="shared" si="13"/>
        <v>0</v>
      </c>
      <c r="V45" s="645">
        <v>43970</v>
      </c>
      <c r="W45" s="646">
        <v>14.4</v>
      </c>
      <c r="X45" s="636">
        <f t="shared" si="14"/>
        <v>0</v>
      </c>
      <c r="Y45" s="636">
        <f t="shared" si="15"/>
        <v>0</v>
      </c>
      <c r="Z45" s="637">
        <f t="shared" si="16"/>
        <v>0</v>
      </c>
      <c r="AA45" s="647">
        <v>44001</v>
      </c>
      <c r="AB45" s="648">
        <v>19.399999999999999</v>
      </c>
      <c r="AC45" s="642">
        <f t="shared" si="17"/>
        <v>0</v>
      </c>
      <c r="AD45" s="642">
        <f t="shared" si="18"/>
        <v>0</v>
      </c>
      <c r="AE45" s="644">
        <f t="shared" si="19"/>
        <v>0</v>
      </c>
    </row>
    <row r="46" spans="2:31" x14ac:dyDescent="0.2">
      <c r="B46" s="645">
        <v>43850</v>
      </c>
      <c r="C46" s="646">
        <v>2</v>
      </c>
      <c r="D46" s="636">
        <f t="shared" si="2"/>
        <v>18</v>
      </c>
      <c r="E46" s="636">
        <f t="shared" si="3"/>
        <v>20</v>
      </c>
      <c r="F46" s="637">
        <f t="shared" si="4"/>
        <v>21.429686609686634</v>
      </c>
      <c r="G46" s="647">
        <v>43881</v>
      </c>
      <c r="H46" s="648">
        <v>4.7</v>
      </c>
      <c r="I46" s="640">
        <f t="shared" si="5"/>
        <v>15.3</v>
      </c>
      <c r="J46" s="640">
        <f t="shared" si="6"/>
        <v>17.3</v>
      </c>
      <c r="K46" s="641">
        <f t="shared" si="7"/>
        <v>18.729686609686635</v>
      </c>
      <c r="L46" s="645">
        <v>43910</v>
      </c>
      <c r="M46" s="646">
        <v>12.8</v>
      </c>
      <c r="N46" s="636">
        <f t="shared" si="8"/>
        <v>0</v>
      </c>
      <c r="O46" s="636">
        <f t="shared" si="9"/>
        <v>0</v>
      </c>
      <c r="P46" s="636">
        <f t="shared" si="10"/>
        <v>0</v>
      </c>
      <c r="Q46" s="647">
        <v>43941</v>
      </c>
      <c r="R46" s="648">
        <v>12.3</v>
      </c>
      <c r="S46" s="642">
        <f t="shared" si="11"/>
        <v>0</v>
      </c>
      <c r="T46" s="642">
        <f t="shared" si="12"/>
        <v>0</v>
      </c>
      <c r="U46" s="643">
        <f t="shared" si="13"/>
        <v>0</v>
      </c>
      <c r="V46" s="645">
        <v>43971</v>
      </c>
      <c r="W46" s="646">
        <v>16.8</v>
      </c>
      <c r="X46" s="636">
        <f t="shared" si="14"/>
        <v>0</v>
      </c>
      <c r="Y46" s="636">
        <f t="shared" si="15"/>
        <v>0</v>
      </c>
      <c r="Z46" s="637">
        <f t="shared" si="16"/>
        <v>0</v>
      </c>
      <c r="AA46" s="647">
        <v>44002</v>
      </c>
      <c r="AB46" s="648">
        <v>20.3</v>
      </c>
      <c r="AC46" s="642">
        <f t="shared" si="17"/>
        <v>0</v>
      </c>
      <c r="AD46" s="642">
        <f t="shared" si="18"/>
        <v>0</v>
      </c>
      <c r="AE46" s="644">
        <f t="shared" si="19"/>
        <v>0</v>
      </c>
    </row>
    <row r="47" spans="2:31" x14ac:dyDescent="0.2">
      <c r="B47" s="645">
        <v>43851</v>
      </c>
      <c r="C47" s="646">
        <v>0.2</v>
      </c>
      <c r="D47" s="636">
        <f t="shared" si="2"/>
        <v>19.8</v>
      </c>
      <c r="E47" s="636">
        <f t="shared" si="3"/>
        <v>21.8</v>
      </c>
      <c r="F47" s="637">
        <f t="shared" si="4"/>
        <v>23.229686609686635</v>
      </c>
      <c r="G47" s="647">
        <v>43882</v>
      </c>
      <c r="H47" s="648">
        <v>5.3</v>
      </c>
      <c r="I47" s="640">
        <f t="shared" si="5"/>
        <v>14.7</v>
      </c>
      <c r="J47" s="640">
        <f t="shared" si="6"/>
        <v>16.7</v>
      </c>
      <c r="K47" s="641">
        <f t="shared" si="7"/>
        <v>18.129686609686633</v>
      </c>
      <c r="L47" s="645">
        <v>43911</v>
      </c>
      <c r="M47" s="646">
        <v>10</v>
      </c>
      <c r="N47" s="636">
        <f t="shared" si="8"/>
        <v>10</v>
      </c>
      <c r="O47" s="636">
        <f t="shared" si="9"/>
        <v>12</v>
      </c>
      <c r="P47" s="636">
        <f t="shared" si="10"/>
        <v>13.429686609686634</v>
      </c>
      <c r="Q47" s="647">
        <v>43942</v>
      </c>
      <c r="R47" s="648">
        <v>12.4</v>
      </c>
      <c r="S47" s="642">
        <f t="shared" si="11"/>
        <v>0</v>
      </c>
      <c r="T47" s="642">
        <f t="shared" si="12"/>
        <v>0</v>
      </c>
      <c r="U47" s="643">
        <f t="shared" si="13"/>
        <v>0</v>
      </c>
      <c r="V47" s="645">
        <v>43972</v>
      </c>
      <c r="W47" s="646">
        <v>18.2</v>
      </c>
      <c r="X47" s="636">
        <f t="shared" si="14"/>
        <v>0</v>
      </c>
      <c r="Y47" s="636">
        <f t="shared" si="15"/>
        <v>0</v>
      </c>
      <c r="Z47" s="637">
        <f t="shared" si="16"/>
        <v>0</v>
      </c>
      <c r="AA47" s="647">
        <v>44003</v>
      </c>
      <c r="AB47" s="648">
        <v>19</v>
      </c>
      <c r="AC47" s="642">
        <f t="shared" si="17"/>
        <v>0</v>
      </c>
      <c r="AD47" s="642">
        <f t="shared" si="18"/>
        <v>0</v>
      </c>
      <c r="AE47" s="644">
        <f t="shared" si="19"/>
        <v>0</v>
      </c>
    </row>
    <row r="48" spans="2:31" x14ac:dyDescent="0.2">
      <c r="B48" s="645">
        <v>43852</v>
      </c>
      <c r="C48" s="646">
        <v>1.5</v>
      </c>
      <c r="D48" s="636">
        <f t="shared" si="2"/>
        <v>18.5</v>
      </c>
      <c r="E48" s="636">
        <f t="shared" si="3"/>
        <v>20.5</v>
      </c>
      <c r="F48" s="637">
        <f t="shared" si="4"/>
        <v>21.929686609686634</v>
      </c>
      <c r="G48" s="647">
        <v>43883</v>
      </c>
      <c r="H48" s="648">
        <v>7.5</v>
      </c>
      <c r="I48" s="640">
        <f t="shared" si="5"/>
        <v>12.5</v>
      </c>
      <c r="J48" s="640">
        <f t="shared" si="6"/>
        <v>14.5</v>
      </c>
      <c r="K48" s="641">
        <f t="shared" si="7"/>
        <v>15.929686609686634</v>
      </c>
      <c r="L48" s="645">
        <v>43912</v>
      </c>
      <c r="M48" s="646">
        <v>3.7</v>
      </c>
      <c r="N48" s="636">
        <f t="shared" si="8"/>
        <v>16.3</v>
      </c>
      <c r="O48" s="636">
        <f t="shared" si="9"/>
        <v>18.3</v>
      </c>
      <c r="P48" s="636">
        <f t="shared" si="10"/>
        <v>19.729686609686635</v>
      </c>
      <c r="Q48" s="647">
        <v>43943</v>
      </c>
      <c r="R48" s="648">
        <v>13.1</v>
      </c>
      <c r="S48" s="642">
        <f t="shared" si="11"/>
        <v>0</v>
      </c>
      <c r="T48" s="642">
        <f t="shared" si="12"/>
        <v>0</v>
      </c>
      <c r="U48" s="643">
        <f t="shared" si="13"/>
        <v>0</v>
      </c>
      <c r="V48" s="645">
        <v>43973</v>
      </c>
      <c r="W48" s="646">
        <v>17.899999999999999</v>
      </c>
      <c r="X48" s="636">
        <f t="shared" si="14"/>
        <v>0</v>
      </c>
      <c r="Y48" s="636">
        <f t="shared" si="15"/>
        <v>0</v>
      </c>
      <c r="Z48" s="637">
        <f t="shared" si="16"/>
        <v>0</v>
      </c>
      <c r="AA48" s="647">
        <v>44004</v>
      </c>
      <c r="AB48" s="648">
        <v>23.8</v>
      </c>
      <c r="AC48" s="642">
        <f t="shared" si="17"/>
        <v>0</v>
      </c>
      <c r="AD48" s="642">
        <f t="shared" si="18"/>
        <v>0</v>
      </c>
      <c r="AE48" s="644">
        <f t="shared" si="19"/>
        <v>0</v>
      </c>
    </row>
    <row r="49" spans="2:31" x14ac:dyDescent="0.2">
      <c r="B49" s="645">
        <v>43853</v>
      </c>
      <c r="C49" s="646">
        <v>-0.9</v>
      </c>
      <c r="D49" s="636">
        <f t="shared" si="2"/>
        <v>20.9</v>
      </c>
      <c r="E49" s="636">
        <f t="shared" si="3"/>
        <v>22.9</v>
      </c>
      <c r="F49" s="637">
        <f t="shared" si="4"/>
        <v>24.329686609686632</v>
      </c>
      <c r="G49" s="647">
        <v>43884</v>
      </c>
      <c r="H49" s="648">
        <v>9.5</v>
      </c>
      <c r="I49" s="640">
        <f t="shared" si="5"/>
        <v>10.5</v>
      </c>
      <c r="J49" s="640">
        <f t="shared" si="6"/>
        <v>12.5</v>
      </c>
      <c r="K49" s="641">
        <f t="shared" si="7"/>
        <v>13.929686609686634</v>
      </c>
      <c r="L49" s="645">
        <v>43913</v>
      </c>
      <c r="M49" s="646">
        <v>2.2000000000000002</v>
      </c>
      <c r="N49" s="636">
        <f t="shared" si="8"/>
        <v>17.8</v>
      </c>
      <c r="O49" s="636">
        <f t="shared" si="9"/>
        <v>19.8</v>
      </c>
      <c r="P49" s="636">
        <f t="shared" si="10"/>
        <v>21.229686609686635</v>
      </c>
      <c r="Q49" s="647">
        <v>43944</v>
      </c>
      <c r="R49" s="648">
        <v>12.9</v>
      </c>
      <c r="S49" s="642">
        <f t="shared" si="11"/>
        <v>0</v>
      </c>
      <c r="T49" s="642">
        <f t="shared" si="12"/>
        <v>0</v>
      </c>
      <c r="U49" s="643">
        <f t="shared" si="13"/>
        <v>0</v>
      </c>
      <c r="V49" s="645">
        <v>43974</v>
      </c>
      <c r="W49" s="646">
        <v>20.6</v>
      </c>
      <c r="X49" s="636">
        <f t="shared" si="14"/>
        <v>0</v>
      </c>
      <c r="Y49" s="636">
        <f t="shared" si="15"/>
        <v>0</v>
      </c>
      <c r="Z49" s="637">
        <f t="shared" si="16"/>
        <v>0</v>
      </c>
      <c r="AA49" s="647">
        <v>44005</v>
      </c>
      <c r="AB49" s="648">
        <v>22.9</v>
      </c>
      <c r="AC49" s="642">
        <f t="shared" si="17"/>
        <v>0</v>
      </c>
      <c r="AD49" s="642">
        <f t="shared" si="18"/>
        <v>0</v>
      </c>
      <c r="AE49" s="644">
        <f t="shared" si="19"/>
        <v>0</v>
      </c>
    </row>
    <row r="50" spans="2:31" x14ac:dyDescent="0.2">
      <c r="B50" s="645">
        <v>43854</v>
      </c>
      <c r="C50" s="646">
        <v>2.4</v>
      </c>
      <c r="D50" s="636">
        <f t="shared" si="2"/>
        <v>17.600000000000001</v>
      </c>
      <c r="E50" s="636">
        <f t="shared" si="3"/>
        <v>19.600000000000001</v>
      </c>
      <c r="F50" s="637">
        <f t="shared" si="4"/>
        <v>21.029686609686635</v>
      </c>
      <c r="G50" s="647">
        <v>43885</v>
      </c>
      <c r="H50" s="648">
        <v>8.6</v>
      </c>
      <c r="I50" s="640">
        <f t="shared" si="5"/>
        <v>11.4</v>
      </c>
      <c r="J50" s="640">
        <f t="shared" si="6"/>
        <v>13.4</v>
      </c>
      <c r="K50" s="641">
        <f t="shared" si="7"/>
        <v>14.829686609686634</v>
      </c>
      <c r="L50" s="645">
        <v>43914</v>
      </c>
      <c r="M50" s="646">
        <v>2</v>
      </c>
      <c r="N50" s="636">
        <f t="shared" si="8"/>
        <v>18</v>
      </c>
      <c r="O50" s="636">
        <f t="shared" si="9"/>
        <v>20</v>
      </c>
      <c r="P50" s="636">
        <f t="shared" si="10"/>
        <v>21.429686609686634</v>
      </c>
      <c r="Q50" s="647">
        <v>43945</v>
      </c>
      <c r="R50" s="648">
        <v>15.4</v>
      </c>
      <c r="S50" s="642">
        <f t="shared" si="11"/>
        <v>0</v>
      </c>
      <c r="T50" s="642">
        <f t="shared" si="12"/>
        <v>0</v>
      </c>
      <c r="U50" s="643">
        <f t="shared" si="13"/>
        <v>0</v>
      </c>
      <c r="V50" s="645">
        <v>43975</v>
      </c>
      <c r="W50" s="646">
        <v>16.899999999999999</v>
      </c>
      <c r="X50" s="636">
        <f t="shared" si="14"/>
        <v>0</v>
      </c>
      <c r="Y50" s="636">
        <f t="shared" si="15"/>
        <v>0</v>
      </c>
      <c r="Z50" s="637">
        <f t="shared" si="16"/>
        <v>0</v>
      </c>
      <c r="AA50" s="647">
        <v>44006</v>
      </c>
      <c r="AB50" s="648">
        <v>21.6</v>
      </c>
      <c r="AC50" s="642">
        <f t="shared" si="17"/>
        <v>0</v>
      </c>
      <c r="AD50" s="642">
        <f t="shared" si="18"/>
        <v>0</v>
      </c>
      <c r="AE50" s="644">
        <f t="shared" si="19"/>
        <v>0</v>
      </c>
    </row>
    <row r="51" spans="2:31" x14ac:dyDescent="0.2">
      <c r="B51" s="645">
        <v>43855</v>
      </c>
      <c r="C51" s="646">
        <v>4</v>
      </c>
      <c r="D51" s="636">
        <f t="shared" si="2"/>
        <v>16</v>
      </c>
      <c r="E51" s="636">
        <f t="shared" si="3"/>
        <v>18</v>
      </c>
      <c r="F51" s="637">
        <f t="shared" si="4"/>
        <v>19.429686609686634</v>
      </c>
      <c r="G51" s="647">
        <v>43886</v>
      </c>
      <c r="H51" s="648">
        <v>9</v>
      </c>
      <c r="I51" s="640">
        <f t="shared" si="5"/>
        <v>11</v>
      </c>
      <c r="J51" s="640">
        <f t="shared" si="6"/>
        <v>13</v>
      </c>
      <c r="K51" s="641">
        <f t="shared" si="7"/>
        <v>14.429686609686634</v>
      </c>
      <c r="L51" s="645">
        <v>43915</v>
      </c>
      <c r="M51" s="646">
        <v>0.8</v>
      </c>
      <c r="N51" s="636">
        <f t="shared" si="8"/>
        <v>19.2</v>
      </c>
      <c r="O51" s="636">
        <f t="shared" si="9"/>
        <v>21.2</v>
      </c>
      <c r="P51" s="636">
        <f t="shared" si="10"/>
        <v>22.629686609686633</v>
      </c>
      <c r="Q51" s="647">
        <v>43946</v>
      </c>
      <c r="R51" s="648">
        <v>17.2</v>
      </c>
      <c r="S51" s="642">
        <f t="shared" si="11"/>
        <v>0</v>
      </c>
      <c r="T51" s="642">
        <f t="shared" si="12"/>
        <v>0</v>
      </c>
      <c r="U51" s="643">
        <f t="shared" si="13"/>
        <v>0</v>
      </c>
      <c r="V51" s="645">
        <v>43976</v>
      </c>
      <c r="W51" s="646">
        <v>15.4</v>
      </c>
      <c r="X51" s="636">
        <f t="shared" si="14"/>
        <v>0</v>
      </c>
      <c r="Y51" s="636">
        <f t="shared" si="15"/>
        <v>0</v>
      </c>
      <c r="Z51" s="637">
        <f t="shared" si="16"/>
        <v>0</v>
      </c>
      <c r="AA51" s="647">
        <v>44007</v>
      </c>
      <c r="AB51" s="648">
        <v>16.2</v>
      </c>
      <c r="AC51" s="642">
        <f t="shared" si="17"/>
        <v>0</v>
      </c>
      <c r="AD51" s="642">
        <f t="shared" si="18"/>
        <v>0</v>
      </c>
      <c r="AE51" s="644">
        <f t="shared" si="19"/>
        <v>0</v>
      </c>
    </row>
    <row r="52" spans="2:31" x14ac:dyDescent="0.2">
      <c r="B52" s="645">
        <v>43856</v>
      </c>
      <c r="C52" s="646">
        <v>5.6</v>
      </c>
      <c r="D52" s="636">
        <f t="shared" si="2"/>
        <v>14.4</v>
      </c>
      <c r="E52" s="636">
        <f t="shared" si="3"/>
        <v>16.399999999999999</v>
      </c>
      <c r="F52" s="637">
        <f t="shared" si="4"/>
        <v>17.829686609686632</v>
      </c>
      <c r="G52" s="647">
        <v>43887</v>
      </c>
      <c r="H52" s="648">
        <v>4</v>
      </c>
      <c r="I52" s="640">
        <f t="shared" si="5"/>
        <v>16</v>
      </c>
      <c r="J52" s="640">
        <f t="shared" si="6"/>
        <v>18</v>
      </c>
      <c r="K52" s="641">
        <f t="shared" si="7"/>
        <v>19.429686609686634</v>
      </c>
      <c r="L52" s="645">
        <v>43916</v>
      </c>
      <c r="M52" s="646">
        <v>2.6</v>
      </c>
      <c r="N52" s="636">
        <f t="shared" si="8"/>
        <v>17.399999999999999</v>
      </c>
      <c r="O52" s="636">
        <f t="shared" si="9"/>
        <v>19.399999999999999</v>
      </c>
      <c r="P52" s="636">
        <f t="shared" si="10"/>
        <v>20.829686609686632</v>
      </c>
      <c r="Q52" s="647">
        <v>43947</v>
      </c>
      <c r="R52" s="648">
        <v>15.7</v>
      </c>
      <c r="S52" s="642">
        <f t="shared" si="11"/>
        <v>0</v>
      </c>
      <c r="T52" s="642">
        <f t="shared" si="12"/>
        <v>0</v>
      </c>
      <c r="U52" s="643">
        <f t="shared" si="13"/>
        <v>0</v>
      </c>
      <c r="V52" s="645">
        <v>43977</v>
      </c>
      <c r="W52" s="646">
        <v>15.5</v>
      </c>
      <c r="X52" s="636">
        <f t="shared" si="14"/>
        <v>0</v>
      </c>
      <c r="Y52" s="636">
        <f t="shared" si="15"/>
        <v>0</v>
      </c>
      <c r="Z52" s="637">
        <f t="shared" si="16"/>
        <v>0</v>
      </c>
      <c r="AA52" s="647">
        <v>44008</v>
      </c>
      <c r="AB52" s="648">
        <v>21.8</v>
      </c>
      <c r="AC52" s="642">
        <f t="shared" si="17"/>
        <v>0</v>
      </c>
      <c r="AD52" s="642">
        <f t="shared" si="18"/>
        <v>0</v>
      </c>
      <c r="AE52" s="644">
        <f t="shared" si="19"/>
        <v>0</v>
      </c>
    </row>
    <row r="53" spans="2:31" x14ac:dyDescent="0.2">
      <c r="B53" s="645">
        <v>43857</v>
      </c>
      <c r="C53" s="646">
        <v>4.5999999999999996</v>
      </c>
      <c r="D53" s="636">
        <f t="shared" si="2"/>
        <v>15.4</v>
      </c>
      <c r="E53" s="636">
        <f t="shared" si="3"/>
        <v>17.399999999999999</v>
      </c>
      <c r="F53" s="637">
        <f t="shared" si="4"/>
        <v>18.829686609686632</v>
      </c>
      <c r="G53" s="647">
        <v>43888</v>
      </c>
      <c r="H53" s="648">
        <v>4.5</v>
      </c>
      <c r="I53" s="640">
        <f t="shared" si="5"/>
        <v>15.5</v>
      </c>
      <c r="J53" s="640">
        <f t="shared" si="6"/>
        <v>17.5</v>
      </c>
      <c r="K53" s="641">
        <f t="shared" si="7"/>
        <v>18.929686609686634</v>
      </c>
      <c r="L53" s="645">
        <v>43917</v>
      </c>
      <c r="M53" s="646">
        <v>9.1999999999999993</v>
      </c>
      <c r="N53" s="636">
        <f t="shared" si="8"/>
        <v>10.8</v>
      </c>
      <c r="O53" s="636">
        <f t="shared" si="9"/>
        <v>12.8</v>
      </c>
      <c r="P53" s="636">
        <f t="shared" si="10"/>
        <v>14.229686609686635</v>
      </c>
      <c r="Q53" s="647">
        <v>43948</v>
      </c>
      <c r="R53" s="648">
        <v>16.600000000000001</v>
      </c>
      <c r="S53" s="642">
        <f t="shared" si="11"/>
        <v>0</v>
      </c>
      <c r="T53" s="642">
        <f t="shared" si="12"/>
        <v>0</v>
      </c>
      <c r="U53" s="643">
        <f t="shared" si="13"/>
        <v>0</v>
      </c>
      <c r="V53" s="645">
        <v>43978</v>
      </c>
      <c r="W53" s="646">
        <v>16.3</v>
      </c>
      <c r="X53" s="636">
        <f t="shared" si="14"/>
        <v>0</v>
      </c>
      <c r="Y53" s="636">
        <f t="shared" si="15"/>
        <v>0</v>
      </c>
      <c r="Z53" s="637">
        <f t="shared" si="16"/>
        <v>0</v>
      </c>
      <c r="AA53" s="647">
        <v>44009</v>
      </c>
      <c r="AB53" s="648">
        <v>24.3</v>
      </c>
      <c r="AC53" s="642">
        <f t="shared" si="17"/>
        <v>0</v>
      </c>
      <c r="AD53" s="642">
        <f t="shared" si="18"/>
        <v>0</v>
      </c>
      <c r="AE53" s="644">
        <f t="shared" si="19"/>
        <v>0</v>
      </c>
    </row>
    <row r="54" spans="2:31" x14ac:dyDescent="0.2">
      <c r="B54" s="645">
        <v>43858</v>
      </c>
      <c r="C54" s="646">
        <v>7.6</v>
      </c>
      <c r="D54" s="636">
        <f t="shared" si="2"/>
        <v>12.4</v>
      </c>
      <c r="E54" s="636">
        <f t="shared" si="3"/>
        <v>14.4</v>
      </c>
      <c r="F54" s="637">
        <f t="shared" si="4"/>
        <v>15.829686609686634</v>
      </c>
      <c r="G54" s="647">
        <v>43889</v>
      </c>
      <c r="H54" s="648">
        <v>4.7</v>
      </c>
      <c r="I54" s="640">
        <f t="shared" si="5"/>
        <v>15.3</v>
      </c>
      <c r="J54" s="640">
        <f t="shared" si="6"/>
        <v>17.3</v>
      </c>
      <c r="K54" s="641">
        <f t="shared" si="7"/>
        <v>18.729686609686635</v>
      </c>
      <c r="L54" s="645">
        <v>43918</v>
      </c>
      <c r="M54" s="646">
        <v>9.3000000000000007</v>
      </c>
      <c r="N54" s="636">
        <f t="shared" si="8"/>
        <v>10.7</v>
      </c>
      <c r="O54" s="636">
        <f t="shared" si="9"/>
        <v>12.7</v>
      </c>
      <c r="P54" s="636">
        <f t="shared" si="10"/>
        <v>14.129686609686633</v>
      </c>
      <c r="Q54" s="647">
        <v>43949</v>
      </c>
      <c r="R54" s="648">
        <v>14.2</v>
      </c>
      <c r="S54" s="642">
        <f t="shared" si="11"/>
        <v>0</v>
      </c>
      <c r="T54" s="642">
        <f t="shared" si="12"/>
        <v>0</v>
      </c>
      <c r="U54" s="643">
        <f t="shared" si="13"/>
        <v>0</v>
      </c>
      <c r="V54" s="645">
        <v>43979</v>
      </c>
      <c r="W54" s="646">
        <v>14.5</v>
      </c>
      <c r="X54" s="636">
        <f t="shared" si="14"/>
        <v>0</v>
      </c>
      <c r="Y54" s="636">
        <f t="shared" si="15"/>
        <v>0</v>
      </c>
      <c r="Z54" s="637">
        <f t="shared" si="16"/>
        <v>0</v>
      </c>
      <c r="AA54" s="647">
        <v>44010</v>
      </c>
      <c r="AB54" s="648">
        <v>25</v>
      </c>
      <c r="AC54" s="642">
        <f t="shared" si="17"/>
        <v>0</v>
      </c>
      <c r="AD54" s="642">
        <f t="shared" si="18"/>
        <v>0</v>
      </c>
      <c r="AE54" s="644">
        <f t="shared" si="19"/>
        <v>0</v>
      </c>
    </row>
    <row r="55" spans="2:31" x14ac:dyDescent="0.2">
      <c r="B55" s="645">
        <v>43859</v>
      </c>
      <c r="C55" s="646">
        <v>4.2</v>
      </c>
      <c r="D55" s="636">
        <f t="shared" si="2"/>
        <v>15.8</v>
      </c>
      <c r="E55" s="636">
        <f t="shared" si="3"/>
        <v>17.8</v>
      </c>
      <c r="F55" s="637">
        <f t="shared" si="4"/>
        <v>19.229686609686635</v>
      </c>
      <c r="G55" s="647">
        <v>43890</v>
      </c>
      <c r="H55" s="653">
        <v>7.1</v>
      </c>
      <c r="I55" s="640">
        <f t="shared" si="5"/>
        <v>12.9</v>
      </c>
      <c r="J55" s="640">
        <f t="shared" si="6"/>
        <v>14.9</v>
      </c>
      <c r="K55" s="641">
        <f t="shared" si="7"/>
        <v>16.329686609686632</v>
      </c>
      <c r="L55" s="645">
        <v>43919</v>
      </c>
      <c r="M55" s="646">
        <v>11.1</v>
      </c>
      <c r="N55" s="636">
        <f t="shared" si="8"/>
        <v>8.9</v>
      </c>
      <c r="O55" s="636">
        <f t="shared" si="9"/>
        <v>10.9</v>
      </c>
      <c r="P55" s="636">
        <f t="shared" si="10"/>
        <v>12.329686609686634</v>
      </c>
      <c r="Q55" s="647">
        <v>43950</v>
      </c>
      <c r="R55" s="653">
        <v>12.7</v>
      </c>
      <c r="S55" s="642">
        <f t="shared" si="11"/>
        <v>0</v>
      </c>
      <c r="T55" s="642">
        <f t="shared" si="12"/>
        <v>0</v>
      </c>
      <c r="U55" s="643">
        <f t="shared" si="13"/>
        <v>0</v>
      </c>
      <c r="V55" s="645">
        <v>43980</v>
      </c>
      <c r="W55" s="646">
        <v>14.3</v>
      </c>
      <c r="X55" s="636">
        <f t="shared" si="14"/>
        <v>0</v>
      </c>
      <c r="Y55" s="636">
        <f t="shared" si="15"/>
        <v>0</v>
      </c>
      <c r="Z55" s="637">
        <f t="shared" si="16"/>
        <v>0</v>
      </c>
      <c r="AA55" s="647">
        <v>44011</v>
      </c>
      <c r="AB55" s="653">
        <v>21.8</v>
      </c>
      <c r="AC55" s="642">
        <f t="shared" si="17"/>
        <v>0</v>
      </c>
      <c r="AD55" s="642">
        <f t="shared" si="18"/>
        <v>0</v>
      </c>
      <c r="AE55" s="644">
        <f t="shared" si="19"/>
        <v>0</v>
      </c>
    </row>
    <row r="56" spans="2:31" x14ac:dyDescent="0.2">
      <c r="B56" s="645">
        <v>43860</v>
      </c>
      <c r="C56" s="646">
        <v>3.2</v>
      </c>
      <c r="D56" s="636">
        <f t="shared" si="2"/>
        <v>16.8</v>
      </c>
      <c r="E56" s="636">
        <f t="shared" si="3"/>
        <v>18.8</v>
      </c>
      <c r="F56" s="637">
        <f t="shared" si="4"/>
        <v>20.229686609686635</v>
      </c>
      <c r="G56" s="647"/>
      <c r="H56" s="653"/>
      <c r="I56" s="640">
        <f t="shared" si="5"/>
        <v>0</v>
      </c>
      <c r="J56" s="640">
        <f t="shared" si="6"/>
        <v>0</v>
      </c>
      <c r="K56" s="641">
        <f t="shared" si="7"/>
        <v>0</v>
      </c>
      <c r="L56" s="645">
        <v>43920</v>
      </c>
      <c r="M56" s="646">
        <v>3.2</v>
      </c>
      <c r="N56" s="636">
        <f t="shared" si="8"/>
        <v>16.8</v>
      </c>
      <c r="O56" s="636">
        <f t="shared" si="9"/>
        <v>18.8</v>
      </c>
      <c r="P56" s="636">
        <f t="shared" si="10"/>
        <v>20.229686609686635</v>
      </c>
      <c r="Q56" s="647">
        <v>43951</v>
      </c>
      <c r="R56" s="653">
        <v>15.3</v>
      </c>
      <c r="S56" s="642">
        <f t="shared" si="11"/>
        <v>0</v>
      </c>
      <c r="T56" s="642">
        <f t="shared" si="12"/>
        <v>0</v>
      </c>
      <c r="U56" s="643">
        <f t="shared" si="13"/>
        <v>0</v>
      </c>
      <c r="V56" s="645">
        <v>43981</v>
      </c>
      <c r="W56" s="646">
        <v>14.6</v>
      </c>
      <c r="X56" s="636">
        <f t="shared" si="14"/>
        <v>0</v>
      </c>
      <c r="Y56" s="636">
        <f t="shared" si="15"/>
        <v>0</v>
      </c>
      <c r="Z56" s="637">
        <f t="shared" si="16"/>
        <v>0</v>
      </c>
      <c r="AA56" s="647">
        <v>44012</v>
      </c>
      <c r="AB56" s="653">
        <v>22.1</v>
      </c>
      <c r="AC56" s="642">
        <f t="shared" si="17"/>
        <v>0</v>
      </c>
      <c r="AD56" s="642">
        <f t="shared" si="18"/>
        <v>0</v>
      </c>
      <c r="AE56" s="644">
        <f t="shared" si="19"/>
        <v>0</v>
      </c>
    </row>
    <row r="57" spans="2:31" ht="13.5" thickBot="1" x14ac:dyDescent="0.25">
      <c r="B57" s="654">
        <v>43861</v>
      </c>
      <c r="C57" s="655">
        <v>8.5</v>
      </c>
      <c r="D57" s="656">
        <f t="shared" si="2"/>
        <v>11.5</v>
      </c>
      <c r="E57" s="656">
        <f t="shared" si="3"/>
        <v>13.5</v>
      </c>
      <c r="F57" s="657">
        <f t="shared" si="4"/>
        <v>14.929686609686634</v>
      </c>
      <c r="G57" s="658"/>
      <c r="H57" s="659"/>
      <c r="I57" s="660">
        <f t="shared" si="5"/>
        <v>0</v>
      </c>
      <c r="J57" s="660">
        <f t="shared" si="6"/>
        <v>0</v>
      </c>
      <c r="K57" s="661">
        <f t="shared" si="7"/>
        <v>0</v>
      </c>
      <c r="L57" s="654">
        <v>43921</v>
      </c>
      <c r="M57" s="655">
        <v>3.4</v>
      </c>
      <c r="N57" s="636">
        <f t="shared" si="8"/>
        <v>16.600000000000001</v>
      </c>
      <c r="O57" s="636">
        <f t="shared" si="9"/>
        <v>18.600000000000001</v>
      </c>
      <c r="P57" s="636">
        <f t="shared" si="10"/>
        <v>20.029686609686635</v>
      </c>
      <c r="Q57" s="658"/>
      <c r="R57" s="659"/>
      <c r="S57" s="642">
        <f t="shared" si="11"/>
        <v>0</v>
      </c>
      <c r="T57" s="642">
        <f t="shared" si="12"/>
        <v>0</v>
      </c>
      <c r="U57" s="643">
        <f t="shared" si="13"/>
        <v>0</v>
      </c>
      <c r="V57" s="654">
        <v>43982</v>
      </c>
      <c r="W57" s="655">
        <v>13.6</v>
      </c>
      <c r="X57" s="662">
        <f t="shared" si="14"/>
        <v>0</v>
      </c>
      <c r="Y57" s="663">
        <f t="shared" si="15"/>
        <v>0</v>
      </c>
      <c r="Z57" s="664">
        <f t="shared" si="16"/>
        <v>0</v>
      </c>
      <c r="AA57" s="658"/>
      <c r="AB57" s="659"/>
      <c r="AC57" s="642">
        <f t="shared" si="17"/>
        <v>0</v>
      </c>
      <c r="AD57" s="642">
        <f t="shared" si="18"/>
        <v>0</v>
      </c>
      <c r="AE57" s="644">
        <f t="shared" si="19"/>
        <v>0</v>
      </c>
    </row>
    <row r="58" spans="2:31" ht="14.25" thickTop="1" thickBot="1" x14ac:dyDescent="0.25">
      <c r="B58" s="665" t="s">
        <v>364</v>
      </c>
      <c r="C58" s="666">
        <f>IF(COUNT(C27:C57) = 0, "ni podatkov",AVERAGE(C27:C57))</f>
        <v>1.9258064516129036</v>
      </c>
      <c r="D58" s="667">
        <f>SUM(D27:D57)</f>
        <v>560.29999999999995</v>
      </c>
      <c r="E58" s="668"/>
      <c r="F58" s="669"/>
      <c r="G58" s="670" t="s">
        <v>364</v>
      </c>
      <c r="H58" s="666">
        <f>IF(COUNT(H27:H57) = 0, "ni podatkov",AVERAGE(H27:H57))</f>
        <v>6.841379310344827</v>
      </c>
      <c r="I58" s="667">
        <f>SUM(I27:I57)</f>
        <v>381.59999999999997</v>
      </c>
      <c r="J58" s="667">
        <f t="shared" ref="J58:K58" si="20">SUM(J27:J57)</f>
        <v>439.59999999999997</v>
      </c>
      <c r="K58" s="667">
        <f t="shared" si="20"/>
        <v>481.06091168091245</v>
      </c>
      <c r="L58" s="665" t="s">
        <v>364</v>
      </c>
      <c r="M58" s="666">
        <f>IF(COUNT(M27:M57) = 0, "ni podatkov",AVERAGE(M27:M57))</f>
        <v>7.2129032258064516</v>
      </c>
      <c r="N58" s="667">
        <f>SUM(N27:N57)</f>
        <v>382.2</v>
      </c>
      <c r="O58" s="667">
        <f t="shared" ref="O58:P58" si="21">SUM(O27:O57)</f>
        <v>440.19999999999993</v>
      </c>
      <c r="P58" s="667">
        <f t="shared" si="21"/>
        <v>481.66091168091231</v>
      </c>
      <c r="Q58" s="665" t="s">
        <v>364</v>
      </c>
      <c r="R58" s="666">
        <f>IF(COUNT(R27:R57) = 0, "ni podatkov",AVERAGE(R27:R57))</f>
        <v>12.959999999999999</v>
      </c>
      <c r="S58" s="667">
        <f>SUM(S27:S57)</f>
        <v>102.69999999999999</v>
      </c>
      <c r="T58" s="667">
        <f t="shared" ref="T58:U58" si="22">SUM(T27:T57)</f>
        <v>120.7</v>
      </c>
      <c r="U58" s="667">
        <f t="shared" si="22"/>
        <v>133.56717948717969</v>
      </c>
      <c r="V58" s="671" t="s">
        <v>364</v>
      </c>
      <c r="W58" s="672">
        <f>IF(COUNT(W27:W57) = 0, "ni podatkov",AVERAGE(W27:W57))</f>
        <v>15.335483870967741</v>
      </c>
      <c r="X58" s="673">
        <f>SUM(X27:X57)</f>
        <v>19.399999999999999</v>
      </c>
      <c r="Y58" s="674"/>
      <c r="Z58" s="674"/>
      <c r="AA58" s="665" t="s">
        <v>364</v>
      </c>
      <c r="AB58" s="666">
        <f>IF(COUNT(AB27:AB57) = 0, "ni podatkov",AVERAGE(AB27:AB57))</f>
        <v>19.583333333333329</v>
      </c>
      <c r="AC58" s="667">
        <f>SUM(AC27:AC57)</f>
        <v>0</v>
      </c>
      <c r="AD58" s="667">
        <f t="shared" ref="AD58:AE58" si="23">SUM(AD27:AD57)</f>
        <v>0</v>
      </c>
      <c r="AE58" s="667">
        <f t="shared" si="23"/>
        <v>0</v>
      </c>
    </row>
    <row r="59" spans="2:31" ht="13.5" thickBot="1" x14ac:dyDescent="0.25">
      <c r="B59" s="1185" t="s">
        <v>365</v>
      </c>
      <c r="C59" s="1186"/>
      <c r="D59" s="1186"/>
      <c r="E59" s="1186"/>
      <c r="F59" s="1187"/>
      <c r="G59" s="1185" t="s">
        <v>366</v>
      </c>
      <c r="H59" s="1186"/>
      <c r="I59" s="1186"/>
      <c r="J59" s="1186"/>
      <c r="K59" s="1187"/>
      <c r="L59" s="1182" t="s">
        <v>367</v>
      </c>
      <c r="M59" s="1183"/>
      <c r="N59" s="1183"/>
      <c r="O59" s="1183"/>
      <c r="P59" s="1184"/>
      <c r="Q59" s="1182" t="s">
        <v>368</v>
      </c>
      <c r="R59" s="1183"/>
      <c r="S59" s="1183"/>
      <c r="T59" s="1183"/>
      <c r="U59" s="1184"/>
      <c r="V59" s="1182" t="s">
        <v>369</v>
      </c>
      <c r="W59" s="1183"/>
      <c r="X59" s="1183"/>
      <c r="Y59" s="1183"/>
      <c r="Z59" s="1184"/>
      <c r="AA59" s="1182" t="s">
        <v>370</v>
      </c>
      <c r="AB59" s="1183"/>
      <c r="AC59" s="1183"/>
      <c r="AD59" s="1183"/>
      <c r="AE59" s="1184"/>
    </row>
    <row r="60" spans="2:31" x14ac:dyDescent="0.2">
      <c r="B60" s="626" t="s">
        <v>359</v>
      </c>
      <c r="C60" s="627" t="s">
        <v>360</v>
      </c>
      <c r="D60" s="628" t="s">
        <v>361</v>
      </c>
      <c r="E60" s="629" t="s">
        <v>362</v>
      </c>
      <c r="F60" s="630" t="s">
        <v>363</v>
      </c>
      <c r="G60" s="626" t="s">
        <v>359</v>
      </c>
      <c r="H60" s="627" t="s">
        <v>360</v>
      </c>
      <c r="I60" s="628" t="s">
        <v>361</v>
      </c>
      <c r="J60" s="629" t="s">
        <v>362</v>
      </c>
      <c r="K60" s="630" t="s">
        <v>363</v>
      </c>
      <c r="L60" s="675" t="s">
        <v>359</v>
      </c>
      <c r="M60" s="676" t="s">
        <v>360</v>
      </c>
      <c r="N60" s="677" t="s">
        <v>361</v>
      </c>
      <c r="O60" s="678" t="s">
        <v>362</v>
      </c>
      <c r="P60" s="679" t="s">
        <v>363</v>
      </c>
      <c r="Q60" s="675" t="s">
        <v>359</v>
      </c>
      <c r="R60" s="676" t="s">
        <v>360</v>
      </c>
      <c r="S60" s="677" t="s">
        <v>361</v>
      </c>
      <c r="T60" s="678" t="s">
        <v>362</v>
      </c>
      <c r="U60" s="679" t="s">
        <v>363</v>
      </c>
      <c r="V60" s="675" t="s">
        <v>359</v>
      </c>
      <c r="W60" s="676" t="s">
        <v>360</v>
      </c>
      <c r="X60" s="677" t="s">
        <v>361</v>
      </c>
      <c r="Y60" s="678" t="s">
        <v>362</v>
      </c>
      <c r="Z60" s="679" t="s">
        <v>363</v>
      </c>
      <c r="AA60" s="675" t="s">
        <v>359</v>
      </c>
      <c r="AB60" s="676" t="s">
        <v>360</v>
      </c>
      <c r="AC60" s="677" t="s">
        <v>361</v>
      </c>
      <c r="AD60" s="678" t="s">
        <v>362</v>
      </c>
      <c r="AE60" s="679" t="s">
        <v>363</v>
      </c>
    </row>
    <row r="61" spans="2:31" x14ac:dyDescent="0.2">
      <c r="B61" s="638">
        <v>44013</v>
      </c>
      <c r="C61" s="639">
        <v>25.5</v>
      </c>
      <c r="D61" s="642">
        <f t="shared" ref="D61:D91" si="24">IF(C61&lt;=12, IF(C61="", 0, $E$21-C61), 0)</f>
        <v>0</v>
      </c>
      <c r="E61" s="642">
        <f t="shared" ref="E61:E91" si="25">IF(C61&lt;=12, IF(C61="", 0, $E$22-C61), 0)</f>
        <v>0</v>
      </c>
      <c r="F61" s="644">
        <f t="shared" ref="F61:F91" si="26">IF(C61&lt;=12, IF(C61="", 0, $E$23-C61), 0)</f>
        <v>0</v>
      </c>
      <c r="G61" s="634">
        <v>44044</v>
      </c>
      <c r="H61" s="635">
        <v>26.1</v>
      </c>
      <c r="I61" s="636">
        <f t="shared" ref="I61:I91" si="27">IF(H61&lt;=12, IF(H61="", 0, $E$21-H61), 0)</f>
        <v>0</v>
      </c>
      <c r="J61" s="636">
        <f t="shared" ref="J61:J91" si="28">IF(H61&lt;=12, IF(H61="", 0, $E$22-H61), 0)</f>
        <v>0</v>
      </c>
      <c r="K61" s="637">
        <f t="shared" ref="K61:K91" si="29">IF(H61&lt;=12, IF(H61="", 0, $E$23-H61), 0)</f>
        <v>0</v>
      </c>
      <c r="L61" s="638">
        <v>44075</v>
      </c>
      <c r="M61" s="639">
        <v>17.399999999999999</v>
      </c>
      <c r="N61" s="642">
        <f t="shared" ref="N61:N91" si="30">IF(M61&lt;=12, IF(M61="", 0, $E$21-M61), 0)</f>
        <v>0</v>
      </c>
      <c r="O61" s="642">
        <f t="shared" ref="O61:O91" si="31">IF(M61&lt;=12, IF(M61="", 0, $E$22-M61), 0)</f>
        <v>0</v>
      </c>
      <c r="P61" s="644">
        <f t="shared" ref="P61:P91" si="32">IF(M61&lt;=12, IF(M61="", 0, $E$23-M61), 0)</f>
        <v>0</v>
      </c>
      <c r="Q61" s="634">
        <v>44105</v>
      </c>
      <c r="R61" s="635">
        <v>14.6</v>
      </c>
      <c r="S61" s="636">
        <f t="shared" ref="S61:S91" si="33">IF(R61&lt;=12, IF(R61="", 0, $E$21-R61), 0)</f>
        <v>0</v>
      </c>
      <c r="T61" s="636">
        <f t="shared" ref="T61:T91" si="34">IF(R61&lt;=12, IF(R61="", 0, $E$22-R61), 0)</f>
        <v>0</v>
      </c>
      <c r="U61" s="637">
        <f t="shared" ref="U61:U91" si="35">IF(R61&lt;=12, IF(R61="", 0, $E$23-R61), 0)</f>
        <v>0</v>
      </c>
      <c r="V61" s="638">
        <v>44136</v>
      </c>
      <c r="W61" s="639">
        <v>11.3</v>
      </c>
      <c r="X61" s="642">
        <f t="shared" ref="X61:X91" si="36">IF(W61&lt;=12, IF(W61="", 0, $E$21-W61), 0)</f>
        <v>8.6999999999999993</v>
      </c>
      <c r="Y61" s="642">
        <f t="shared" ref="Y61:Y91" si="37">IF(W61&lt;=12, IF(W61="", 0, $E$22-W61), 0)</f>
        <v>10.7</v>
      </c>
      <c r="Z61" s="644">
        <f t="shared" ref="Z61:Z91" si="38">IF(W61&lt;=12, IF(W61="", 0, $E$23-W61), 0)</f>
        <v>12.129686609686633</v>
      </c>
      <c r="AA61" s="634">
        <v>44166</v>
      </c>
      <c r="AB61" s="635">
        <v>-1</v>
      </c>
      <c r="AC61" s="636">
        <f t="shared" ref="AC61:AC91" si="39">IF(AB61&lt;=12, IF(AB61="", 0, $E$21-AB61), 0)</f>
        <v>21</v>
      </c>
      <c r="AD61" s="636">
        <f t="shared" ref="AD61:AD91" si="40">IF(AB61&lt;=12, IF(AB61="", 0, $E$22-AB61), 0)</f>
        <v>23</v>
      </c>
      <c r="AE61" s="637">
        <f t="shared" ref="AE61:AE91" si="41">IF(AB61&lt;=12, IF(AB61="", 0, $E$23-AB61), 0)</f>
        <v>24.429686609686634</v>
      </c>
    </row>
    <row r="62" spans="2:31" x14ac:dyDescent="0.2">
      <c r="B62" s="647">
        <v>44014</v>
      </c>
      <c r="C62" s="648">
        <v>21.9</v>
      </c>
      <c r="D62" s="642">
        <f t="shared" si="24"/>
        <v>0</v>
      </c>
      <c r="E62" s="642">
        <f t="shared" si="25"/>
        <v>0</v>
      </c>
      <c r="F62" s="644">
        <f t="shared" si="26"/>
        <v>0</v>
      </c>
      <c r="G62" s="645">
        <v>44045</v>
      </c>
      <c r="H62" s="646">
        <v>20.2</v>
      </c>
      <c r="I62" s="636">
        <f t="shared" si="27"/>
        <v>0</v>
      </c>
      <c r="J62" s="636">
        <f t="shared" si="28"/>
        <v>0</v>
      </c>
      <c r="K62" s="637">
        <f t="shared" si="29"/>
        <v>0</v>
      </c>
      <c r="L62" s="647">
        <v>44076</v>
      </c>
      <c r="M62" s="648">
        <v>16.8</v>
      </c>
      <c r="N62" s="642">
        <f t="shared" si="30"/>
        <v>0</v>
      </c>
      <c r="O62" s="642">
        <f t="shared" si="31"/>
        <v>0</v>
      </c>
      <c r="P62" s="644">
        <f t="shared" si="32"/>
        <v>0</v>
      </c>
      <c r="Q62" s="645">
        <v>44106</v>
      </c>
      <c r="R62" s="646">
        <v>15.1</v>
      </c>
      <c r="S62" s="636">
        <f t="shared" si="33"/>
        <v>0</v>
      </c>
      <c r="T62" s="636">
        <f t="shared" si="34"/>
        <v>0</v>
      </c>
      <c r="U62" s="637">
        <f t="shared" si="35"/>
        <v>0</v>
      </c>
      <c r="V62" s="647">
        <v>44137</v>
      </c>
      <c r="W62" s="648">
        <v>13.1</v>
      </c>
      <c r="X62" s="642">
        <f t="shared" si="36"/>
        <v>0</v>
      </c>
      <c r="Y62" s="642">
        <f t="shared" si="37"/>
        <v>0</v>
      </c>
      <c r="Z62" s="644">
        <f t="shared" si="38"/>
        <v>0</v>
      </c>
      <c r="AA62" s="645">
        <v>44167</v>
      </c>
      <c r="AB62" s="646">
        <v>-1.4</v>
      </c>
      <c r="AC62" s="636">
        <f t="shared" si="39"/>
        <v>21.4</v>
      </c>
      <c r="AD62" s="636">
        <f t="shared" si="40"/>
        <v>23.4</v>
      </c>
      <c r="AE62" s="637">
        <f t="shared" si="41"/>
        <v>24.829686609686632</v>
      </c>
    </row>
    <row r="63" spans="2:31" x14ac:dyDescent="0.2">
      <c r="B63" s="647">
        <v>44015</v>
      </c>
      <c r="C63" s="648">
        <v>18.8</v>
      </c>
      <c r="D63" s="642">
        <f t="shared" si="24"/>
        <v>0</v>
      </c>
      <c r="E63" s="642">
        <f t="shared" si="25"/>
        <v>0</v>
      </c>
      <c r="F63" s="644">
        <f t="shared" si="26"/>
        <v>0</v>
      </c>
      <c r="G63" s="645">
        <v>44046</v>
      </c>
      <c r="H63" s="646">
        <v>19</v>
      </c>
      <c r="I63" s="636">
        <f t="shared" si="27"/>
        <v>0</v>
      </c>
      <c r="J63" s="636">
        <f t="shared" si="28"/>
        <v>0</v>
      </c>
      <c r="K63" s="637">
        <f t="shared" si="29"/>
        <v>0</v>
      </c>
      <c r="L63" s="647">
        <v>44077</v>
      </c>
      <c r="M63" s="648">
        <v>17.100000000000001</v>
      </c>
      <c r="N63" s="642">
        <f t="shared" si="30"/>
        <v>0</v>
      </c>
      <c r="O63" s="642">
        <f t="shared" si="31"/>
        <v>0</v>
      </c>
      <c r="P63" s="644">
        <f t="shared" si="32"/>
        <v>0</v>
      </c>
      <c r="Q63" s="645">
        <v>44107</v>
      </c>
      <c r="R63" s="646">
        <v>15.4</v>
      </c>
      <c r="S63" s="636">
        <f t="shared" si="33"/>
        <v>0</v>
      </c>
      <c r="T63" s="636">
        <f t="shared" si="34"/>
        <v>0</v>
      </c>
      <c r="U63" s="637">
        <f t="shared" si="35"/>
        <v>0</v>
      </c>
      <c r="V63" s="647">
        <v>44138</v>
      </c>
      <c r="W63" s="648">
        <v>13.1</v>
      </c>
      <c r="X63" s="642">
        <f t="shared" si="36"/>
        <v>0</v>
      </c>
      <c r="Y63" s="642">
        <f t="shared" si="37"/>
        <v>0</v>
      </c>
      <c r="Z63" s="644">
        <f t="shared" si="38"/>
        <v>0</v>
      </c>
      <c r="AA63" s="645">
        <v>44168</v>
      </c>
      <c r="AB63" s="646">
        <v>-0.8</v>
      </c>
      <c r="AC63" s="636">
        <f t="shared" si="39"/>
        <v>20.8</v>
      </c>
      <c r="AD63" s="636">
        <f t="shared" si="40"/>
        <v>22.8</v>
      </c>
      <c r="AE63" s="637">
        <f t="shared" si="41"/>
        <v>24.229686609686635</v>
      </c>
    </row>
    <row r="64" spans="2:31" x14ac:dyDescent="0.2">
      <c r="B64" s="647">
        <v>44016</v>
      </c>
      <c r="C64" s="648">
        <v>20.9</v>
      </c>
      <c r="D64" s="642">
        <f t="shared" si="24"/>
        <v>0</v>
      </c>
      <c r="E64" s="642">
        <f t="shared" si="25"/>
        <v>0</v>
      </c>
      <c r="F64" s="644">
        <f t="shared" si="26"/>
        <v>0</v>
      </c>
      <c r="G64" s="645">
        <v>44047</v>
      </c>
      <c r="H64" s="646">
        <v>17.899999999999999</v>
      </c>
      <c r="I64" s="636">
        <f t="shared" si="27"/>
        <v>0</v>
      </c>
      <c r="J64" s="636">
        <f t="shared" si="28"/>
        <v>0</v>
      </c>
      <c r="K64" s="637">
        <f t="shared" si="29"/>
        <v>0</v>
      </c>
      <c r="L64" s="647">
        <v>44078</v>
      </c>
      <c r="M64" s="648">
        <v>18.8</v>
      </c>
      <c r="N64" s="642">
        <f t="shared" si="30"/>
        <v>0</v>
      </c>
      <c r="O64" s="642">
        <f t="shared" si="31"/>
        <v>0</v>
      </c>
      <c r="P64" s="644">
        <f t="shared" si="32"/>
        <v>0</v>
      </c>
      <c r="Q64" s="645">
        <v>44108</v>
      </c>
      <c r="R64" s="646">
        <v>13.9</v>
      </c>
      <c r="S64" s="636">
        <f t="shared" si="33"/>
        <v>0</v>
      </c>
      <c r="T64" s="636">
        <f t="shared" si="34"/>
        <v>0</v>
      </c>
      <c r="U64" s="637">
        <f t="shared" si="35"/>
        <v>0</v>
      </c>
      <c r="V64" s="647">
        <v>44139</v>
      </c>
      <c r="W64" s="648">
        <v>10.7</v>
      </c>
      <c r="X64" s="642">
        <f t="shared" si="36"/>
        <v>9.3000000000000007</v>
      </c>
      <c r="Y64" s="642">
        <f t="shared" si="37"/>
        <v>11.3</v>
      </c>
      <c r="Z64" s="644">
        <f t="shared" si="38"/>
        <v>12.729686609686635</v>
      </c>
      <c r="AA64" s="645">
        <v>44169</v>
      </c>
      <c r="AB64" s="646">
        <v>-0.3</v>
      </c>
      <c r="AC64" s="636">
        <f t="shared" si="39"/>
        <v>20.3</v>
      </c>
      <c r="AD64" s="636">
        <f t="shared" si="40"/>
        <v>22.3</v>
      </c>
      <c r="AE64" s="637">
        <f t="shared" si="41"/>
        <v>23.729686609686635</v>
      </c>
    </row>
    <row r="65" spans="2:31" x14ac:dyDescent="0.2">
      <c r="B65" s="647">
        <v>44017</v>
      </c>
      <c r="C65" s="648">
        <v>23.1</v>
      </c>
      <c r="D65" s="642">
        <f t="shared" si="24"/>
        <v>0</v>
      </c>
      <c r="E65" s="642">
        <f t="shared" si="25"/>
        <v>0</v>
      </c>
      <c r="F65" s="644">
        <f t="shared" si="26"/>
        <v>0</v>
      </c>
      <c r="G65" s="645">
        <v>44048</v>
      </c>
      <c r="H65" s="646">
        <v>17.2</v>
      </c>
      <c r="I65" s="636">
        <f t="shared" si="27"/>
        <v>0</v>
      </c>
      <c r="J65" s="636">
        <f t="shared" si="28"/>
        <v>0</v>
      </c>
      <c r="K65" s="637">
        <f t="shared" si="29"/>
        <v>0</v>
      </c>
      <c r="L65" s="647">
        <v>44079</v>
      </c>
      <c r="M65" s="648">
        <v>21.2</v>
      </c>
      <c r="N65" s="642">
        <f t="shared" si="30"/>
        <v>0</v>
      </c>
      <c r="O65" s="642">
        <f t="shared" si="31"/>
        <v>0</v>
      </c>
      <c r="P65" s="644">
        <f t="shared" si="32"/>
        <v>0</v>
      </c>
      <c r="Q65" s="645">
        <v>44109</v>
      </c>
      <c r="R65" s="646">
        <v>13.8</v>
      </c>
      <c r="S65" s="636">
        <f t="shared" si="33"/>
        <v>0</v>
      </c>
      <c r="T65" s="636">
        <f t="shared" si="34"/>
        <v>0</v>
      </c>
      <c r="U65" s="637">
        <f t="shared" si="35"/>
        <v>0</v>
      </c>
      <c r="V65" s="647">
        <v>44140</v>
      </c>
      <c r="W65" s="648">
        <v>10.5</v>
      </c>
      <c r="X65" s="642">
        <f t="shared" si="36"/>
        <v>9.5</v>
      </c>
      <c r="Y65" s="642">
        <f t="shared" si="37"/>
        <v>11.5</v>
      </c>
      <c r="Z65" s="644">
        <f t="shared" si="38"/>
        <v>12.929686609686634</v>
      </c>
      <c r="AA65" s="645">
        <v>44170</v>
      </c>
      <c r="AB65" s="646">
        <v>1.5</v>
      </c>
      <c r="AC65" s="636">
        <f t="shared" si="39"/>
        <v>18.5</v>
      </c>
      <c r="AD65" s="636">
        <f t="shared" si="40"/>
        <v>20.5</v>
      </c>
      <c r="AE65" s="637">
        <f t="shared" si="41"/>
        <v>21.929686609686634</v>
      </c>
    </row>
    <row r="66" spans="2:31" x14ac:dyDescent="0.2">
      <c r="B66" s="647">
        <v>44018</v>
      </c>
      <c r="C66" s="648">
        <v>21.6</v>
      </c>
      <c r="D66" s="642">
        <f t="shared" si="24"/>
        <v>0</v>
      </c>
      <c r="E66" s="642">
        <f t="shared" si="25"/>
        <v>0</v>
      </c>
      <c r="F66" s="644">
        <f t="shared" si="26"/>
        <v>0</v>
      </c>
      <c r="G66" s="645">
        <v>44049</v>
      </c>
      <c r="H66" s="646">
        <v>21.4</v>
      </c>
      <c r="I66" s="636">
        <f t="shared" si="27"/>
        <v>0</v>
      </c>
      <c r="J66" s="636">
        <f t="shared" si="28"/>
        <v>0</v>
      </c>
      <c r="K66" s="637">
        <f t="shared" si="29"/>
        <v>0</v>
      </c>
      <c r="L66" s="647">
        <v>44080</v>
      </c>
      <c r="M66" s="648">
        <v>20.3</v>
      </c>
      <c r="N66" s="642">
        <f t="shared" si="30"/>
        <v>0</v>
      </c>
      <c r="O66" s="642">
        <f t="shared" si="31"/>
        <v>0</v>
      </c>
      <c r="P66" s="644">
        <f t="shared" si="32"/>
        <v>0</v>
      </c>
      <c r="Q66" s="645">
        <v>44110</v>
      </c>
      <c r="R66" s="646">
        <v>14.2</v>
      </c>
      <c r="S66" s="636">
        <f t="shared" si="33"/>
        <v>0</v>
      </c>
      <c r="T66" s="636">
        <f t="shared" si="34"/>
        <v>0</v>
      </c>
      <c r="U66" s="637">
        <f t="shared" si="35"/>
        <v>0</v>
      </c>
      <c r="V66" s="647">
        <v>44141</v>
      </c>
      <c r="W66" s="648">
        <v>7.4</v>
      </c>
      <c r="X66" s="642">
        <f t="shared" si="36"/>
        <v>12.6</v>
      </c>
      <c r="Y66" s="642">
        <f t="shared" si="37"/>
        <v>14.6</v>
      </c>
      <c r="Z66" s="644">
        <f t="shared" si="38"/>
        <v>16.029686609686635</v>
      </c>
      <c r="AA66" s="645">
        <v>44171</v>
      </c>
      <c r="AB66" s="646">
        <v>2.9</v>
      </c>
      <c r="AC66" s="636">
        <f t="shared" si="39"/>
        <v>17.100000000000001</v>
      </c>
      <c r="AD66" s="636">
        <f t="shared" si="40"/>
        <v>19.100000000000001</v>
      </c>
      <c r="AE66" s="637">
        <f t="shared" si="41"/>
        <v>20.529686609686635</v>
      </c>
    </row>
    <row r="67" spans="2:31" x14ac:dyDescent="0.2">
      <c r="B67" s="647">
        <v>44019</v>
      </c>
      <c r="C67" s="648">
        <v>18</v>
      </c>
      <c r="D67" s="642">
        <f t="shared" si="24"/>
        <v>0</v>
      </c>
      <c r="E67" s="642">
        <f t="shared" si="25"/>
        <v>0</v>
      </c>
      <c r="F67" s="644">
        <f t="shared" si="26"/>
        <v>0</v>
      </c>
      <c r="G67" s="645">
        <v>44050</v>
      </c>
      <c r="H67" s="646">
        <v>24.2</v>
      </c>
      <c r="I67" s="636">
        <f t="shared" si="27"/>
        <v>0</v>
      </c>
      <c r="J67" s="636">
        <f t="shared" si="28"/>
        <v>0</v>
      </c>
      <c r="K67" s="637">
        <f t="shared" si="29"/>
        <v>0</v>
      </c>
      <c r="L67" s="647">
        <v>44081</v>
      </c>
      <c r="M67" s="648">
        <v>18.2</v>
      </c>
      <c r="N67" s="642">
        <f t="shared" si="30"/>
        <v>0</v>
      </c>
      <c r="O67" s="642">
        <f t="shared" si="31"/>
        <v>0</v>
      </c>
      <c r="P67" s="644">
        <f t="shared" si="32"/>
        <v>0</v>
      </c>
      <c r="Q67" s="645">
        <v>44111</v>
      </c>
      <c r="R67" s="646">
        <v>10.6</v>
      </c>
      <c r="S67" s="636">
        <f t="shared" si="33"/>
        <v>9.4</v>
      </c>
      <c r="T67" s="636">
        <f t="shared" si="34"/>
        <v>11.4</v>
      </c>
      <c r="U67" s="637">
        <f t="shared" si="35"/>
        <v>12.829686609686634</v>
      </c>
      <c r="V67" s="647">
        <v>44142</v>
      </c>
      <c r="W67" s="648">
        <v>5.3</v>
      </c>
      <c r="X67" s="642">
        <f t="shared" si="36"/>
        <v>14.7</v>
      </c>
      <c r="Y67" s="642">
        <f t="shared" si="37"/>
        <v>16.7</v>
      </c>
      <c r="Z67" s="644">
        <f t="shared" si="38"/>
        <v>18.129686609686633</v>
      </c>
      <c r="AA67" s="645">
        <v>44172</v>
      </c>
      <c r="AB67" s="646">
        <v>4.4000000000000004</v>
      </c>
      <c r="AC67" s="636">
        <f t="shared" si="39"/>
        <v>15.6</v>
      </c>
      <c r="AD67" s="636">
        <f t="shared" si="40"/>
        <v>17.600000000000001</v>
      </c>
      <c r="AE67" s="637">
        <f t="shared" si="41"/>
        <v>19.029686609686635</v>
      </c>
    </row>
    <row r="68" spans="2:31" x14ac:dyDescent="0.2">
      <c r="B68" s="647">
        <v>44020</v>
      </c>
      <c r="C68" s="648">
        <v>20.7</v>
      </c>
      <c r="D68" s="642">
        <f t="shared" si="24"/>
        <v>0</v>
      </c>
      <c r="E68" s="642">
        <f t="shared" si="25"/>
        <v>0</v>
      </c>
      <c r="F68" s="644">
        <f t="shared" si="26"/>
        <v>0</v>
      </c>
      <c r="G68" s="645">
        <v>44051</v>
      </c>
      <c r="H68" s="646">
        <v>25.1</v>
      </c>
      <c r="I68" s="636">
        <f t="shared" si="27"/>
        <v>0</v>
      </c>
      <c r="J68" s="636">
        <f t="shared" si="28"/>
        <v>0</v>
      </c>
      <c r="K68" s="637">
        <f t="shared" si="29"/>
        <v>0</v>
      </c>
      <c r="L68" s="647">
        <v>44082</v>
      </c>
      <c r="M68" s="648">
        <v>18.100000000000001</v>
      </c>
      <c r="N68" s="642">
        <f t="shared" si="30"/>
        <v>0</v>
      </c>
      <c r="O68" s="642">
        <f t="shared" si="31"/>
        <v>0</v>
      </c>
      <c r="P68" s="644">
        <f t="shared" si="32"/>
        <v>0</v>
      </c>
      <c r="Q68" s="645">
        <v>44112</v>
      </c>
      <c r="R68" s="646">
        <v>11.3</v>
      </c>
      <c r="S68" s="636">
        <f t="shared" si="33"/>
        <v>8.6999999999999993</v>
      </c>
      <c r="T68" s="636">
        <f t="shared" si="34"/>
        <v>10.7</v>
      </c>
      <c r="U68" s="637">
        <f t="shared" si="35"/>
        <v>12.129686609686633</v>
      </c>
      <c r="V68" s="647">
        <v>44143</v>
      </c>
      <c r="W68" s="648">
        <v>3.9</v>
      </c>
      <c r="X68" s="642">
        <f t="shared" si="36"/>
        <v>16.100000000000001</v>
      </c>
      <c r="Y68" s="642">
        <f t="shared" si="37"/>
        <v>18.100000000000001</v>
      </c>
      <c r="Z68" s="644">
        <f t="shared" si="38"/>
        <v>19.529686609686635</v>
      </c>
      <c r="AA68" s="645">
        <v>44173</v>
      </c>
      <c r="AB68" s="646">
        <v>3.2</v>
      </c>
      <c r="AC68" s="636">
        <f t="shared" si="39"/>
        <v>16.8</v>
      </c>
      <c r="AD68" s="636">
        <f t="shared" si="40"/>
        <v>18.8</v>
      </c>
      <c r="AE68" s="637">
        <f t="shared" si="41"/>
        <v>20.229686609686635</v>
      </c>
    </row>
    <row r="69" spans="2:31" x14ac:dyDescent="0.2">
      <c r="B69" s="647">
        <v>44021</v>
      </c>
      <c r="C69" s="648">
        <v>22.7</v>
      </c>
      <c r="D69" s="642">
        <f t="shared" si="24"/>
        <v>0</v>
      </c>
      <c r="E69" s="642">
        <f t="shared" si="25"/>
        <v>0</v>
      </c>
      <c r="F69" s="644">
        <f t="shared" si="26"/>
        <v>0</v>
      </c>
      <c r="G69" s="645">
        <v>44052</v>
      </c>
      <c r="H69" s="646">
        <v>25.1</v>
      </c>
      <c r="I69" s="636">
        <f t="shared" si="27"/>
        <v>0</v>
      </c>
      <c r="J69" s="636">
        <f t="shared" si="28"/>
        <v>0</v>
      </c>
      <c r="K69" s="637">
        <f t="shared" si="29"/>
        <v>0</v>
      </c>
      <c r="L69" s="647">
        <v>44083</v>
      </c>
      <c r="M69" s="648">
        <v>18.8</v>
      </c>
      <c r="N69" s="642">
        <f t="shared" si="30"/>
        <v>0</v>
      </c>
      <c r="O69" s="642">
        <f t="shared" si="31"/>
        <v>0</v>
      </c>
      <c r="P69" s="644">
        <f t="shared" si="32"/>
        <v>0</v>
      </c>
      <c r="Q69" s="645">
        <v>44113</v>
      </c>
      <c r="R69" s="646">
        <v>12.9</v>
      </c>
      <c r="S69" s="636">
        <f t="shared" si="33"/>
        <v>0</v>
      </c>
      <c r="T69" s="636">
        <f t="shared" si="34"/>
        <v>0</v>
      </c>
      <c r="U69" s="637">
        <f t="shared" si="35"/>
        <v>0</v>
      </c>
      <c r="V69" s="647">
        <v>44144</v>
      </c>
      <c r="W69" s="648">
        <v>4.4000000000000004</v>
      </c>
      <c r="X69" s="642">
        <f t="shared" si="36"/>
        <v>15.6</v>
      </c>
      <c r="Y69" s="642">
        <f t="shared" si="37"/>
        <v>17.600000000000001</v>
      </c>
      <c r="Z69" s="644">
        <f t="shared" si="38"/>
        <v>19.029686609686635</v>
      </c>
      <c r="AA69" s="645">
        <v>44174</v>
      </c>
      <c r="AB69" s="646">
        <v>2.5</v>
      </c>
      <c r="AC69" s="636">
        <f t="shared" si="39"/>
        <v>17.5</v>
      </c>
      <c r="AD69" s="636">
        <f t="shared" si="40"/>
        <v>19.5</v>
      </c>
      <c r="AE69" s="637">
        <f t="shared" si="41"/>
        <v>20.929686609686634</v>
      </c>
    </row>
    <row r="70" spans="2:31" x14ac:dyDescent="0.2">
      <c r="B70" s="647">
        <v>44022</v>
      </c>
      <c r="C70" s="648">
        <v>24.9</v>
      </c>
      <c r="D70" s="642">
        <f t="shared" si="24"/>
        <v>0</v>
      </c>
      <c r="E70" s="642">
        <f t="shared" si="25"/>
        <v>0</v>
      </c>
      <c r="F70" s="644">
        <f t="shared" si="26"/>
        <v>0</v>
      </c>
      <c r="G70" s="645">
        <v>44053</v>
      </c>
      <c r="H70" s="646">
        <v>25.6</v>
      </c>
      <c r="I70" s="636">
        <f t="shared" si="27"/>
        <v>0</v>
      </c>
      <c r="J70" s="636">
        <f t="shared" si="28"/>
        <v>0</v>
      </c>
      <c r="K70" s="637">
        <f t="shared" si="29"/>
        <v>0</v>
      </c>
      <c r="L70" s="647">
        <v>44084</v>
      </c>
      <c r="M70" s="648">
        <v>20.9</v>
      </c>
      <c r="N70" s="642">
        <f t="shared" si="30"/>
        <v>0</v>
      </c>
      <c r="O70" s="642">
        <f t="shared" si="31"/>
        <v>0</v>
      </c>
      <c r="P70" s="644">
        <f t="shared" si="32"/>
        <v>0</v>
      </c>
      <c r="Q70" s="645">
        <v>44114</v>
      </c>
      <c r="R70" s="646">
        <v>13.3</v>
      </c>
      <c r="S70" s="636">
        <f t="shared" si="33"/>
        <v>0</v>
      </c>
      <c r="T70" s="636">
        <f t="shared" si="34"/>
        <v>0</v>
      </c>
      <c r="U70" s="637">
        <f t="shared" si="35"/>
        <v>0</v>
      </c>
      <c r="V70" s="647">
        <v>44145</v>
      </c>
      <c r="W70" s="648">
        <v>5</v>
      </c>
      <c r="X70" s="642">
        <f t="shared" si="36"/>
        <v>15</v>
      </c>
      <c r="Y70" s="642">
        <f t="shared" si="37"/>
        <v>17</v>
      </c>
      <c r="Z70" s="644">
        <f t="shared" si="38"/>
        <v>18.429686609686634</v>
      </c>
      <c r="AA70" s="645">
        <v>44175</v>
      </c>
      <c r="AB70" s="646">
        <v>3.4</v>
      </c>
      <c r="AC70" s="636">
        <f t="shared" si="39"/>
        <v>16.600000000000001</v>
      </c>
      <c r="AD70" s="636">
        <f t="shared" si="40"/>
        <v>18.600000000000001</v>
      </c>
      <c r="AE70" s="637">
        <f t="shared" si="41"/>
        <v>20.029686609686635</v>
      </c>
    </row>
    <row r="71" spans="2:31" x14ac:dyDescent="0.2">
      <c r="B71" s="647">
        <v>44023</v>
      </c>
      <c r="C71" s="648">
        <v>19.5</v>
      </c>
      <c r="D71" s="642">
        <f t="shared" si="24"/>
        <v>0</v>
      </c>
      <c r="E71" s="642">
        <f t="shared" si="25"/>
        <v>0</v>
      </c>
      <c r="F71" s="644">
        <f t="shared" si="26"/>
        <v>0</v>
      </c>
      <c r="G71" s="645">
        <v>44054</v>
      </c>
      <c r="H71" s="646">
        <v>22.8</v>
      </c>
      <c r="I71" s="636">
        <f t="shared" si="27"/>
        <v>0</v>
      </c>
      <c r="J71" s="636">
        <f t="shared" si="28"/>
        <v>0</v>
      </c>
      <c r="K71" s="637">
        <f t="shared" si="29"/>
        <v>0</v>
      </c>
      <c r="L71" s="647">
        <v>44085</v>
      </c>
      <c r="M71" s="648">
        <v>20.2</v>
      </c>
      <c r="N71" s="642">
        <f t="shared" si="30"/>
        <v>0</v>
      </c>
      <c r="O71" s="642">
        <f t="shared" si="31"/>
        <v>0</v>
      </c>
      <c r="P71" s="644">
        <f t="shared" si="32"/>
        <v>0</v>
      </c>
      <c r="Q71" s="645">
        <v>44115</v>
      </c>
      <c r="R71" s="646">
        <v>6.4</v>
      </c>
      <c r="S71" s="636">
        <f t="shared" si="33"/>
        <v>13.6</v>
      </c>
      <c r="T71" s="636">
        <f t="shared" si="34"/>
        <v>15.6</v>
      </c>
      <c r="U71" s="637">
        <f t="shared" si="35"/>
        <v>17.029686609686635</v>
      </c>
      <c r="V71" s="647">
        <v>44146</v>
      </c>
      <c r="W71" s="648">
        <v>5.7</v>
      </c>
      <c r="X71" s="642">
        <f t="shared" si="36"/>
        <v>14.3</v>
      </c>
      <c r="Y71" s="642">
        <f t="shared" si="37"/>
        <v>16.3</v>
      </c>
      <c r="Z71" s="644">
        <f t="shared" si="38"/>
        <v>17.729686609686635</v>
      </c>
      <c r="AA71" s="645">
        <v>44176</v>
      </c>
      <c r="AB71" s="646">
        <v>3.6</v>
      </c>
      <c r="AC71" s="636">
        <f t="shared" si="39"/>
        <v>16.399999999999999</v>
      </c>
      <c r="AD71" s="636">
        <f t="shared" si="40"/>
        <v>18.399999999999999</v>
      </c>
      <c r="AE71" s="637">
        <f t="shared" si="41"/>
        <v>19.829686609686632</v>
      </c>
    </row>
    <row r="72" spans="2:31" x14ac:dyDescent="0.2">
      <c r="B72" s="647">
        <v>44024</v>
      </c>
      <c r="C72" s="648">
        <v>19.100000000000001</v>
      </c>
      <c r="D72" s="642">
        <f t="shared" si="24"/>
        <v>0</v>
      </c>
      <c r="E72" s="642">
        <f t="shared" si="25"/>
        <v>0</v>
      </c>
      <c r="F72" s="644">
        <f t="shared" si="26"/>
        <v>0</v>
      </c>
      <c r="G72" s="645">
        <v>44055</v>
      </c>
      <c r="H72" s="646">
        <v>24.1</v>
      </c>
      <c r="I72" s="636">
        <f t="shared" si="27"/>
        <v>0</v>
      </c>
      <c r="J72" s="636">
        <f t="shared" si="28"/>
        <v>0</v>
      </c>
      <c r="K72" s="637">
        <f t="shared" si="29"/>
        <v>0</v>
      </c>
      <c r="L72" s="647">
        <v>44086</v>
      </c>
      <c r="M72" s="648">
        <v>20.8</v>
      </c>
      <c r="N72" s="642">
        <f t="shared" si="30"/>
        <v>0</v>
      </c>
      <c r="O72" s="642">
        <f t="shared" si="31"/>
        <v>0</v>
      </c>
      <c r="P72" s="644">
        <f t="shared" si="32"/>
        <v>0</v>
      </c>
      <c r="Q72" s="645">
        <v>44116</v>
      </c>
      <c r="R72" s="646">
        <v>7.1</v>
      </c>
      <c r="S72" s="636">
        <f t="shared" si="33"/>
        <v>12.9</v>
      </c>
      <c r="T72" s="636">
        <f t="shared" si="34"/>
        <v>14.9</v>
      </c>
      <c r="U72" s="637">
        <f t="shared" si="35"/>
        <v>16.329686609686632</v>
      </c>
      <c r="V72" s="647">
        <v>44147</v>
      </c>
      <c r="W72" s="648">
        <v>6.5</v>
      </c>
      <c r="X72" s="642">
        <f t="shared" si="36"/>
        <v>13.5</v>
      </c>
      <c r="Y72" s="642">
        <f t="shared" si="37"/>
        <v>15.5</v>
      </c>
      <c r="Z72" s="644">
        <f t="shared" si="38"/>
        <v>16.929686609686634</v>
      </c>
      <c r="AA72" s="645">
        <v>44177</v>
      </c>
      <c r="AB72" s="646">
        <v>3.7</v>
      </c>
      <c r="AC72" s="636">
        <f t="shared" si="39"/>
        <v>16.3</v>
      </c>
      <c r="AD72" s="636">
        <f t="shared" si="40"/>
        <v>18.3</v>
      </c>
      <c r="AE72" s="637">
        <f t="shared" si="41"/>
        <v>19.729686609686635</v>
      </c>
    </row>
    <row r="73" spans="2:31" x14ac:dyDescent="0.2">
      <c r="B73" s="647">
        <v>44025</v>
      </c>
      <c r="C73" s="648">
        <v>18.899999999999999</v>
      </c>
      <c r="D73" s="642">
        <f t="shared" si="24"/>
        <v>0</v>
      </c>
      <c r="E73" s="642">
        <f t="shared" si="25"/>
        <v>0</v>
      </c>
      <c r="F73" s="644">
        <f t="shared" si="26"/>
        <v>0</v>
      </c>
      <c r="G73" s="645">
        <v>44056</v>
      </c>
      <c r="H73" s="646">
        <v>25.4</v>
      </c>
      <c r="I73" s="636">
        <f t="shared" si="27"/>
        <v>0</v>
      </c>
      <c r="J73" s="636">
        <f t="shared" si="28"/>
        <v>0</v>
      </c>
      <c r="K73" s="637">
        <f t="shared" si="29"/>
        <v>0</v>
      </c>
      <c r="L73" s="647">
        <v>44087</v>
      </c>
      <c r="M73" s="648">
        <v>21.4</v>
      </c>
      <c r="N73" s="642">
        <f t="shared" si="30"/>
        <v>0</v>
      </c>
      <c r="O73" s="642">
        <f t="shared" si="31"/>
        <v>0</v>
      </c>
      <c r="P73" s="644">
        <f t="shared" si="32"/>
        <v>0</v>
      </c>
      <c r="Q73" s="645">
        <v>44117</v>
      </c>
      <c r="R73" s="646">
        <v>9.6999999999999993</v>
      </c>
      <c r="S73" s="636">
        <f t="shared" si="33"/>
        <v>10.3</v>
      </c>
      <c r="T73" s="636">
        <f t="shared" si="34"/>
        <v>12.3</v>
      </c>
      <c r="U73" s="637">
        <f t="shared" si="35"/>
        <v>13.729686609686635</v>
      </c>
      <c r="V73" s="647">
        <v>44148</v>
      </c>
      <c r="W73" s="648">
        <v>6.8</v>
      </c>
      <c r="X73" s="642">
        <f t="shared" si="36"/>
        <v>13.2</v>
      </c>
      <c r="Y73" s="642">
        <f t="shared" si="37"/>
        <v>15.2</v>
      </c>
      <c r="Z73" s="644">
        <f t="shared" si="38"/>
        <v>16.629686609686633</v>
      </c>
      <c r="AA73" s="645">
        <v>44178</v>
      </c>
      <c r="AB73" s="646">
        <v>3.1</v>
      </c>
      <c r="AC73" s="636">
        <f t="shared" si="39"/>
        <v>16.899999999999999</v>
      </c>
      <c r="AD73" s="636">
        <f t="shared" si="40"/>
        <v>18.899999999999999</v>
      </c>
      <c r="AE73" s="637">
        <f t="shared" si="41"/>
        <v>20.329686609686632</v>
      </c>
    </row>
    <row r="74" spans="2:31" x14ac:dyDescent="0.2">
      <c r="B74" s="647">
        <v>44026</v>
      </c>
      <c r="C74" s="648">
        <v>18.7</v>
      </c>
      <c r="D74" s="642">
        <f t="shared" si="24"/>
        <v>0</v>
      </c>
      <c r="E74" s="642">
        <f t="shared" si="25"/>
        <v>0</v>
      </c>
      <c r="F74" s="644">
        <f t="shared" si="26"/>
        <v>0</v>
      </c>
      <c r="G74" s="645">
        <v>44057</v>
      </c>
      <c r="H74" s="646">
        <v>21.3</v>
      </c>
      <c r="I74" s="636">
        <f t="shared" si="27"/>
        <v>0</v>
      </c>
      <c r="J74" s="636">
        <f t="shared" si="28"/>
        <v>0</v>
      </c>
      <c r="K74" s="637">
        <f t="shared" si="29"/>
        <v>0</v>
      </c>
      <c r="L74" s="647">
        <v>44088</v>
      </c>
      <c r="M74" s="648">
        <v>21</v>
      </c>
      <c r="N74" s="642">
        <f t="shared" si="30"/>
        <v>0</v>
      </c>
      <c r="O74" s="642">
        <f t="shared" si="31"/>
        <v>0</v>
      </c>
      <c r="P74" s="644">
        <f t="shared" si="32"/>
        <v>0</v>
      </c>
      <c r="Q74" s="645">
        <v>44118</v>
      </c>
      <c r="R74" s="646">
        <v>10.8</v>
      </c>
      <c r="S74" s="636">
        <f t="shared" si="33"/>
        <v>9.1999999999999993</v>
      </c>
      <c r="T74" s="636">
        <f t="shared" si="34"/>
        <v>11.2</v>
      </c>
      <c r="U74" s="637">
        <f t="shared" si="35"/>
        <v>12.629686609686633</v>
      </c>
      <c r="V74" s="647">
        <v>44149</v>
      </c>
      <c r="W74" s="648">
        <v>8</v>
      </c>
      <c r="X74" s="642">
        <f t="shared" si="36"/>
        <v>12</v>
      </c>
      <c r="Y74" s="642">
        <f t="shared" si="37"/>
        <v>14</v>
      </c>
      <c r="Z74" s="644">
        <f t="shared" si="38"/>
        <v>15.429686609686634</v>
      </c>
      <c r="AA74" s="645">
        <v>44179</v>
      </c>
      <c r="AB74" s="646">
        <v>1</v>
      </c>
      <c r="AC74" s="636">
        <f t="shared" si="39"/>
        <v>19</v>
      </c>
      <c r="AD74" s="636">
        <f t="shared" si="40"/>
        <v>21</v>
      </c>
      <c r="AE74" s="637">
        <f t="shared" si="41"/>
        <v>22.429686609686634</v>
      </c>
    </row>
    <row r="75" spans="2:31" x14ac:dyDescent="0.2">
      <c r="B75" s="647">
        <v>44027</v>
      </c>
      <c r="C75" s="648">
        <v>19.8</v>
      </c>
      <c r="D75" s="642">
        <f t="shared" si="24"/>
        <v>0</v>
      </c>
      <c r="E75" s="642">
        <f t="shared" si="25"/>
        <v>0</v>
      </c>
      <c r="F75" s="644">
        <f t="shared" si="26"/>
        <v>0</v>
      </c>
      <c r="G75" s="645">
        <v>44058</v>
      </c>
      <c r="H75" s="646">
        <v>22.3</v>
      </c>
      <c r="I75" s="636">
        <f t="shared" si="27"/>
        <v>0</v>
      </c>
      <c r="J75" s="636">
        <f t="shared" si="28"/>
        <v>0</v>
      </c>
      <c r="K75" s="637">
        <f t="shared" si="29"/>
        <v>0</v>
      </c>
      <c r="L75" s="647">
        <v>44089</v>
      </c>
      <c r="M75" s="648">
        <v>21.3</v>
      </c>
      <c r="N75" s="642">
        <f t="shared" si="30"/>
        <v>0</v>
      </c>
      <c r="O75" s="642">
        <f t="shared" si="31"/>
        <v>0</v>
      </c>
      <c r="P75" s="644">
        <f t="shared" si="32"/>
        <v>0</v>
      </c>
      <c r="Q75" s="645">
        <v>44119</v>
      </c>
      <c r="R75" s="646">
        <v>7.3</v>
      </c>
      <c r="S75" s="636">
        <f t="shared" si="33"/>
        <v>12.7</v>
      </c>
      <c r="T75" s="636">
        <f t="shared" si="34"/>
        <v>14.7</v>
      </c>
      <c r="U75" s="637">
        <f t="shared" si="35"/>
        <v>16.129686609686633</v>
      </c>
      <c r="V75" s="647">
        <v>44150</v>
      </c>
      <c r="W75" s="648">
        <v>7.7</v>
      </c>
      <c r="X75" s="642">
        <f t="shared" si="36"/>
        <v>12.3</v>
      </c>
      <c r="Y75" s="642">
        <f t="shared" si="37"/>
        <v>14.3</v>
      </c>
      <c r="Z75" s="644">
        <f t="shared" si="38"/>
        <v>15.729686609686635</v>
      </c>
      <c r="AA75" s="645">
        <v>44180</v>
      </c>
      <c r="AB75" s="646">
        <v>0.9</v>
      </c>
      <c r="AC75" s="636">
        <f t="shared" si="39"/>
        <v>19.100000000000001</v>
      </c>
      <c r="AD75" s="636">
        <f t="shared" si="40"/>
        <v>21.1</v>
      </c>
      <c r="AE75" s="637">
        <f t="shared" si="41"/>
        <v>22.529686609686635</v>
      </c>
    </row>
    <row r="76" spans="2:31" x14ac:dyDescent="0.2">
      <c r="B76" s="647">
        <v>44028</v>
      </c>
      <c r="C76" s="648">
        <v>20.2</v>
      </c>
      <c r="D76" s="642">
        <f t="shared" si="24"/>
        <v>0</v>
      </c>
      <c r="E76" s="642">
        <f t="shared" si="25"/>
        <v>0</v>
      </c>
      <c r="F76" s="644">
        <f t="shared" si="26"/>
        <v>0</v>
      </c>
      <c r="G76" s="645">
        <v>44059</v>
      </c>
      <c r="H76" s="646">
        <v>23.4</v>
      </c>
      <c r="I76" s="636">
        <f t="shared" si="27"/>
        <v>0</v>
      </c>
      <c r="J76" s="636">
        <f t="shared" si="28"/>
        <v>0</v>
      </c>
      <c r="K76" s="637">
        <f t="shared" si="29"/>
        <v>0</v>
      </c>
      <c r="L76" s="647">
        <v>44090</v>
      </c>
      <c r="M76" s="648">
        <v>20.6</v>
      </c>
      <c r="N76" s="642">
        <f t="shared" si="30"/>
        <v>0</v>
      </c>
      <c r="O76" s="642">
        <f t="shared" si="31"/>
        <v>0</v>
      </c>
      <c r="P76" s="644">
        <f t="shared" si="32"/>
        <v>0</v>
      </c>
      <c r="Q76" s="645">
        <v>44120</v>
      </c>
      <c r="R76" s="646">
        <v>9.4</v>
      </c>
      <c r="S76" s="636">
        <f t="shared" si="33"/>
        <v>10.6</v>
      </c>
      <c r="T76" s="636">
        <f t="shared" si="34"/>
        <v>12.6</v>
      </c>
      <c r="U76" s="637">
        <f t="shared" si="35"/>
        <v>14.029686609686634</v>
      </c>
      <c r="V76" s="647">
        <v>44151</v>
      </c>
      <c r="W76" s="648">
        <v>7.9</v>
      </c>
      <c r="X76" s="642">
        <f t="shared" si="36"/>
        <v>12.1</v>
      </c>
      <c r="Y76" s="642">
        <f t="shared" si="37"/>
        <v>14.1</v>
      </c>
      <c r="Z76" s="644">
        <f t="shared" si="38"/>
        <v>15.529686609686634</v>
      </c>
      <c r="AA76" s="645">
        <v>44181</v>
      </c>
      <c r="AB76" s="646">
        <v>1.3</v>
      </c>
      <c r="AC76" s="636">
        <f t="shared" si="39"/>
        <v>18.7</v>
      </c>
      <c r="AD76" s="636">
        <f t="shared" si="40"/>
        <v>20.7</v>
      </c>
      <c r="AE76" s="637">
        <f t="shared" si="41"/>
        <v>22.129686609686633</v>
      </c>
    </row>
    <row r="77" spans="2:31" x14ac:dyDescent="0.2">
      <c r="B77" s="647">
        <v>44029</v>
      </c>
      <c r="C77" s="648">
        <v>17.7</v>
      </c>
      <c r="D77" s="642">
        <f t="shared" si="24"/>
        <v>0</v>
      </c>
      <c r="E77" s="642">
        <f t="shared" si="25"/>
        <v>0</v>
      </c>
      <c r="F77" s="644">
        <f t="shared" si="26"/>
        <v>0</v>
      </c>
      <c r="G77" s="645">
        <v>44060</v>
      </c>
      <c r="H77" s="646">
        <v>22.1</v>
      </c>
      <c r="I77" s="636">
        <f t="shared" si="27"/>
        <v>0</v>
      </c>
      <c r="J77" s="636">
        <f t="shared" si="28"/>
        <v>0</v>
      </c>
      <c r="K77" s="637">
        <f t="shared" si="29"/>
        <v>0</v>
      </c>
      <c r="L77" s="647">
        <v>44091</v>
      </c>
      <c r="M77" s="648">
        <v>19.600000000000001</v>
      </c>
      <c r="N77" s="642">
        <f t="shared" si="30"/>
        <v>0</v>
      </c>
      <c r="O77" s="642">
        <f t="shared" si="31"/>
        <v>0</v>
      </c>
      <c r="P77" s="644">
        <f t="shared" si="32"/>
        <v>0</v>
      </c>
      <c r="Q77" s="645">
        <v>44121</v>
      </c>
      <c r="R77" s="646">
        <v>9</v>
      </c>
      <c r="S77" s="636">
        <f t="shared" si="33"/>
        <v>11</v>
      </c>
      <c r="T77" s="636">
        <f t="shared" si="34"/>
        <v>13</v>
      </c>
      <c r="U77" s="637">
        <f t="shared" si="35"/>
        <v>14.429686609686634</v>
      </c>
      <c r="V77" s="647">
        <v>44152</v>
      </c>
      <c r="W77" s="648">
        <v>7.7</v>
      </c>
      <c r="X77" s="642">
        <f t="shared" si="36"/>
        <v>12.3</v>
      </c>
      <c r="Y77" s="642">
        <f t="shared" si="37"/>
        <v>14.3</v>
      </c>
      <c r="Z77" s="644">
        <f t="shared" si="38"/>
        <v>15.729686609686635</v>
      </c>
      <c r="AA77" s="645">
        <v>44182</v>
      </c>
      <c r="AB77" s="646">
        <v>4.5</v>
      </c>
      <c r="AC77" s="636">
        <f t="shared" si="39"/>
        <v>15.5</v>
      </c>
      <c r="AD77" s="636">
        <f t="shared" si="40"/>
        <v>17.5</v>
      </c>
      <c r="AE77" s="637">
        <f t="shared" si="41"/>
        <v>18.929686609686634</v>
      </c>
    </row>
    <row r="78" spans="2:31" x14ac:dyDescent="0.2">
      <c r="B78" s="647">
        <v>44030</v>
      </c>
      <c r="C78" s="648">
        <v>17.600000000000001</v>
      </c>
      <c r="D78" s="642">
        <f t="shared" si="24"/>
        <v>0</v>
      </c>
      <c r="E78" s="642">
        <f t="shared" si="25"/>
        <v>0</v>
      </c>
      <c r="F78" s="644">
        <f t="shared" si="26"/>
        <v>0</v>
      </c>
      <c r="G78" s="645">
        <v>44061</v>
      </c>
      <c r="H78" s="646">
        <v>20.399999999999999</v>
      </c>
      <c r="I78" s="636">
        <f t="shared" si="27"/>
        <v>0</v>
      </c>
      <c r="J78" s="636">
        <f t="shared" si="28"/>
        <v>0</v>
      </c>
      <c r="K78" s="637">
        <f t="shared" si="29"/>
        <v>0</v>
      </c>
      <c r="L78" s="647">
        <v>44092</v>
      </c>
      <c r="M78" s="648">
        <v>17.899999999999999</v>
      </c>
      <c r="N78" s="642">
        <f t="shared" si="30"/>
        <v>0</v>
      </c>
      <c r="O78" s="642">
        <f t="shared" si="31"/>
        <v>0</v>
      </c>
      <c r="P78" s="644">
        <f t="shared" si="32"/>
        <v>0</v>
      </c>
      <c r="Q78" s="645">
        <v>44122</v>
      </c>
      <c r="R78" s="646">
        <v>9.9</v>
      </c>
      <c r="S78" s="636">
        <f t="shared" si="33"/>
        <v>10.1</v>
      </c>
      <c r="T78" s="636">
        <f t="shared" si="34"/>
        <v>12.1</v>
      </c>
      <c r="U78" s="637">
        <f t="shared" si="35"/>
        <v>13.529686609686634</v>
      </c>
      <c r="V78" s="647">
        <v>44153</v>
      </c>
      <c r="W78" s="648">
        <v>5.2</v>
      </c>
      <c r="X78" s="642">
        <f t="shared" si="36"/>
        <v>14.8</v>
      </c>
      <c r="Y78" s="642">
        <f t="shared" si="37"/>
        <v>16.8</v>
      </c>
      <c r="Z78" s="644">
        <f t="shared" si="38"/>
        <v>18.229686609686635</v>
      </c>
      <c r="AA78" s="645">
        <v>44183</v>
      </c>
      <c r="AB78" s="646">
        <v>3.7</v>
      </c>
      <c r="AC78" s="636">
        <f t="shared" si="39"/>
        <v>16.3</v>
      </c>
      <c r="AD78" s="636">
        <f t="shared" si="40"/>
        <v>18.3</v>
      </c>
      <c r="AE78" s="637">
        <f t="shared" si="41"/>
        <v>19.729686609686635</v>
      </c>
    </row>
    <row r="79" spans="2:31" x14ac:dyDescent="0.2">
      <c r="B79" s="647">
        <v>44031</v>
      </c>
      <c r="C79" s="648">
        <v>20.8</v>
      </c>
      <c r="D79" s="642">
        <f t="shared" si="24"/>
        <v>0</v>
      </c>
      <c r="E79" s="642">
        <f t="shared" si="25"/>
        <v>0</v>
      </c>
      <c r="F79" s="644">
        <f t="shared" si="26"/>
        <v>0</v>
      </c>
      <c r="G79" s="645">
        <v>44062</v>
      </c>
      <c r="H79" s="646">
        <v>21.3</v>
      </c>
      <c r="I79" s="636">
        <f t="shared" si="27"/>
        <v>0</v>
      </c>
      <c r="J79" s="636">
        <f t="shared" si="28"/>
        <v>0</v>
      </c>
      <c r="K79" s="637">
        <f t="shared" si="29"/>
        <v>0</v>
      </c>
      <c r="L79" s="647">
        <v>44093</v>
      </c>
      <c r="M79" s="648">
        <v>15.3</v>
      </c>
      <c r="N79" s="642">
        <f t="shared" si="30"/>
        <v>0</v>
      </c>
      <c r="O79" s="642">
        <f t="shared" si="31"/>
        <v>0</v>
      </c>
      <c r="P79" s="644">
        <f t="shared" si="32"/>
        <v>0</v>
      </c>
      <c r="Q79" s="645">
        <v>44123</v>
      </c>
      <c r="R79" s="646">
        <v>9.6</v>
      </c>
      <c r="S79" s="636">
        <f t="shared" si="33"/>
        <v>10.4</v>
      </c>
      <c r="T79" s="636">
        <f t="shared" si="34"/>
        <v>12.4</v>
      </c>
      <c r="U79" s="637">
        <f t="shared" si="35"/>
        <v>13.829686609686634</v>
      </c>
      <c r="V79" s="647">
        <v>44154</v>
      </c>
      <c r="W79" s="648">
        <v>3.6</v>
      </c>
      <c r="X79" s="642">
        <f t="shared" si="36"/>
        <v>16.399999999999999</v>
      </c>
      <c r="Y79" s="642">
        <f t="shared" si="37"/>
        <v>18.399999999999999</v>
      </c>
      <c r="Z79" s="644">
        <f t="shared" si="38"/>
        <v>19.829686609686632</v>
      </c>
      <c r="AA79" s="645">
        <v>44184</v>
      </c>
      <c r="AB79" s="646">
        <v>4.3</v>
      </c>
      <c r="AC79" s="636">
        <f t="shared" si="39"/>
        <v>15.7</v>
      </c>
      <c r="AD79" s="636">
        <f t="shared" si="40"/>
        <v>17.7</v>
      </c>
      <c r="AE79" s="637">
        <f t="shared" si="41"/>
        <v>19.129686609686633</v>
      </c>
    </row>
    <row r="80" spans="2:31" x14ac:dyDescent="0.2">
      <c r="B80" s="647">
        <v>44032</v>
      </c>
      <c r="C80" s="648">
        <v>24.1</v>
      </c>
      <c r="D80" s="642">
        <f t="shared" si="24"/>
        <v>0</v>
      </c>
      <c r="E80" s="642">
        <f t="shared" si="25"/>
        <v>0</v>
      </c>
      <c r="F80" s="644">
        <f t="shared" si="26"/>
        <v>0</v>
      </c>
      <c r="G80" s="645">
        <v>44063</v>
      </c>
      <c r="H80" s="646">
        <v>23.6</v>
      </c>
      <c r="I80" s="636">
        <f t="shared" si="27"/>
        <v>0</v>
      </c>
      <c r="J80" s="636">
        <f t="shared" si="28"/>
        <v>0</v>
      </c>
      <c r="K80" s="637">
        <f t="shared" si="29"/>
        <v>0</v>
      </c>
      <c r="L80" s="647">
        <v>44094</v>
      </c>
      <c r="M80" s="648">
        <v>16.3</v>
      </c>
      <c r="N80" s="642">
        <f t="shared" si="30"/>
        <v>0</v>
      </c>
      <c r="O80" s="642">
        <f t="shared" si="31"/>
        <v>0</v>
      </c>
      <c r="P80" s="644">
        <f t="shared" si="32"/>
        <v>0</v>
      </c>
      <c r="Q80" s="645">
        <v>44124</v>
      </c>
      <c r="R80" s="646">
        <v>10.3</v>
      </c>
      <c r="S80" s="636">
        <f t="shared" si="33"/>
        <v>9.6999999999999993</v>
      </c>
      <c r="T80" s="636">
        <f t="shared" si="34"/>
        <v>11.7</v>
      </c>
      <c r="U80" s="637">
        <f t="shared" si="35"/>
        <v>13.129686609686633</v>
      </c>
      <c r="V80" s="647">
        <v>44155</v>
      </c>
      <c r="W80" s="648">
        <v>6</v>
      </c>
      <c r="X80" s="642">
        <f t="shared" si="36"/>
        <v>14</v>
      </c>
      <c r="Y80" s="642">
        <f t="shared" si="37"/>
        <v>16</v>
      </c>
      <c r="Z80" s="644">
        <f t="shared" si="38"/>
        <v>17.429686609686634</v>
      </c>
      <c r="AA80" s="645">
        <v>44185</v>
      </c>
      <c r="AB80" s="646">
        <v>3.8</v>
      </c>
      <c r="AC80" s="636">
        <f t="shared" si="39"/>
        <v>16.2</v>
      </c>
      <c r="AD80" s="636">
        <f t="shared" si="40"/>
        <v>18.2</v>
      </c>
      <c r="AE80" s="637">
        <f t="shared" si="41"/>
        <v>19.629686609686633</v>
      </c>
    </row>
    <row r="81" spans="2:31" x14ac:dyDescent="0.2">
      <c r="B81" s="647">
        <v>44033</v>
      </c>
      <c r="C81" s="648">
        <v>24.3</v>
      </c>
      <c r="D81" s="642">
        <f t="shared" si="24"/>
        <v>0</v>
      </c>
      <c r="E81" s="642">
        <f t="shared" si="25"/>
        <v>0</v>
      </c>
      <c r="F81" s="644">
        <f t="shared" si="26"/>
        <v>0</v>
      </c>
      <c r="G81" s="645">
        <v>44064</v>
      </c>
      <c r="H81" s="646">
        <v>25.2</v>
      </c>
      <c r="I81" s="636">
        <f t="shared" si="27"/>
        <v>0</v>
      </c>
      <c r="J81" s="636">
        <f t="shared" si="28"/>
        <v>0</v>
      </c>
      <c r="K81" s="637">
        <f t="shared" si="29"/>
        <v>0</v>
      </c>
      <c r="L81" s="647">
        <v>44095</v>
      </c>
      <c r="M81" s="648">
        <v>17</v>
      </c>
      <c r="N81" s="642">
        <f t="shared" si="30"/>
        <v>0</v>
      </c>
      <c r="O81" s="642">
        <f t="shared" si="31"/>
        <v>0</v>
      </c>
      <c r="P81" s="644">
        <f t="shared" si="32"/>
        <v>0</v>
      </c>
      <c r="Q81" s="645">
        <v>44125</v>
      </c>
      <c r="R81" s="646">
        <v>13.2</v>
      </c>
      <c r="S81" s="636">
        <f t="shared" si="33"/>
        <v>0</v>
      </c>
      <c r="T81" s="636">
        <f t="shared" si="34"/>
        <v>0</v>
      </c>
      <c r="U81" s="637">
        <f t="shared" si="35"/>
        <v>0</v>
      </c>
      <c r="V81" s="647">
        <v>44156</v>
      </c>
      <c r="W81" s="648">
        <v>2.1</v>
      </c>
      <c r="X81" s="642">
        <f t="shared" si="36"/>
        <v>17.899999999999999</v>
      </c>
      <c r="Y81" s="642">
        <f t="shared" si="37"/>
        <v>19.899999999999999</v>
      </c>
      <c r="Z81" s="644">
        <f t="shared" si="38"/>
        <v>21.329686609686632</v>
      </c>
      <c r="AA81" s="645">
        <v>44186</v>
      </c>
      <c r="AB81" s="646">
        <v>4.5</v>
      </c>
      <c r="AC81" s="636">
        <f t="shared" si="39"/>
        <v>15.5</v>
      </c>
      <c r="AD81" s="636">
        <f t="shared" si="40"/>
        <v>17.5</v>
      </c>
      <c r="AE81" s="637">
        <f t="shared" si="41"/>
        <v>18.929686609686634</v>
      </c>
    </row>
    <row r="82" spans="2:31" x14ac:dyDescent="0.2">
      <c r="B82" s="647">
        <v>44034</v>
      </c>
      <c r="C82" s="648">
        <v>22.2</v>
      </c>
      <c r="D82" s="642">
        <f t="shared" si="24"/>
        <v>0</v>
      </c>
      <c r="E82" s="642">
        <f t="shared" si="25"/>
        <v>0</v>
      </c>
      <c r="F82" s="644">
        <f t="shared" si="26"/>
        <v>0</v>
      </c>
      <c r="G82" s="645">
        <v>44065</v>
      </c>
      <c r="H82" s="646">
        <v>25.3</v>
      </c>
      <c r="I82" s="636">
        <f t="shared" si="27"/>
        <v>0</v>
      </c>
      <c r="J82" s="636">
        <f t="shared" si="28"/>
        <v>0</v>
      </c>
      <c r="K82" s="637">
        <f t="shared" si="29"/>
        <v>0</v>
      </c>
      <c r="L82" s="647">
        <v>44096</v>
      </c>
      <c r="M82" s="648">
        <v>17.399999999999999</v>
      </c>
      <c r="N82" s="642">
        <f t="shared" si="30"/>
        <v>0</v>
      </c>
      <c r="O82" s="642">
        <f t="shared" si="31"/>
        <v>0</v>
      </c>
      <c r="P82" s="644">
        <f t="shared" si="32"/>
        <v>0</v>
      </c>
      <c r="Q82" s="645">
        <v>44126</v>
      </c>
      <c r="R82" s="646">
        <v>14.8</v>
      </c>
      <c r="S82" s="636">
        <f t="shared" si="33"/>
        <v>0</v>
      </c>
      <c r="T82" s="636">
        <f t="shared" si="34"/>
        <v>0</v>
      </c>
      <c r="U82" s="637">
        <f t="shared" si="35"/>
        <v>0</v>
      </c>
      <c r="V82" s="647">
        <v>44157</v>
      </c>
      <c r="W82" s="648">
        <v>0.2</v>
      </c>
      <c r="X82" s="642">
        <f t="shared" si="36"/>
        <v>19.8</v>
      </c>
      <c r="Y82" s="642">
        <f t="shared" si="37"/>
        <v>21.8</v>
      </c>
      <c r="Z82" s="644">
        <f t="shared" si="38"/>
        <v>23.229686609686635</v>
      </c>
      <c r="AA82" s="645">
        <v>44187</v>
      </c>
      <c r="AB82" s="646">
        <v>7.9</v>
      </c>
      <c r="AC82" s="636">
        <f t="shared" si="39"/>
        <v>12.1</v>
      </c>
      <c r="AD82" s="636">
        <f t="shared" si="40"/>
        <v>14.1</v>
      </c>
      <c r="AE82" s="637">
        <f t="shared" si="41"/>
        <v>15.529686609686634</v>
      </c>
    </row>
    <row r="83" spans="2:31" x14ac:dyDescent="0.2">
      <c r="B83" s="647">
        <v>44035</v>
      </c>
      <c r="C83" s="648">
        <v>23.2</v>
      </c>
      <c r="D83" s="642">
        <f t="shared" si="24"/>
        <v>0</v>
      </c>
      <c r="E83" s="642">
        <f t="shared" si="25"/>
        <v>0</v>
      </c>
      <c r="F83" s="644">
        <f t="shared" si="26"/>
        <v>0</v>
      </c>
      <c r="G83" s="645">
        <v>44066</v>
      </c>
      <c r="H83" s="646">
        <v>22.3</v>
      </c>
      <c r="I83" s="636">
        <f t="shared" si="27"/>
        <v>0</v>
      </c>
      <c r="J83" s="636">
        <f t="shared" si="28"/>
        <v>0</v>
      </c>
      <c r="K83" s="637">
        <f t="shared" si="29"/>
        <v>0</v>
      </c>
      <c r="L83" s="647">
        <v>44097</v>
      </c>
      <c r="M83" s="648">
        <v>16.8</v>
      </c>
      <c r="N83" s="642">
        <f t="shared" si="30"/>
        <v>0</v>
      </c>
      <c r="O83" s="642">
        <f t="shared" si="31"/>
        <v>0</v>
      </c>
      <c r="P83" s="644">
        <f t="shared" si="32"/>
        <v>0</v>
      </c>
      <c r="Q83" s="645">
        <v>44127</v>
      </c>
      <c r="R83" s="646">
        <v>15.4</v>
      </c>
      <c r="S83" s="636">
        <f t="shared" si="33"/>
        <v>0</v>
      </c>
      <c r="T83" s="636">
        <f t="shared" si="34"/>
        <v>0</v>
      </c>
      <c r="U83" s="637">
        <f t="shared" si="35"/>
        <v>0</v>
      </c>
      <c r="V83" s="647">
        <v>44158</v>
      </c>
      <c r="W83" s="648">
        <v>2.6</v>
      </c>
      <c r="X83" s="642">
        <f t="shared" si="36"/>
        <v>17.399999999999999</v>
      </c>
      <c r="Y83" s="642">
        <f t="shared" si="37"/>
        <v>19.399999999999999</v>
      </c>
      <c r="Z83" s="644">
        <f t="shared" si="38"/>
        <v>20.829686609686632</v>
      </c>
      <c r="AA83" s="645">
        <v>44188</v>
      </c>
      <c r="AB83" s="646">
        <v>9.5</v>
      </c>
      <c r="AC83" s="636">
        <f t="shared" si="39"/>
        <v>10.5</v>
      </c>
      <c r="AD83" s="636">
        <f t="shared" si="40"/>
        <v>12.5</v>
      </c>
      <c r="AE83" s="637">
        <f t="shared" si="41"/>
        <v>13.929686609686634</v>
      </c>
    </row>
    <row r="84" spans="2:31" x14ac:dyDescent="0.2">
      <c r="B84" s="647">
        <v>44036</v>
      </c>
      <c r="C84" s="648">
        <v>19.100000000000001</v>
      </c>
      <c r="D84" s="642">
        <f t="shared" si="24"/>
        <v>0</v>
      </c>
      <c r="E84" s="642">
        <f t="shared" si="25"/>
        <v>0</v>
      </c>
      <c r="F84" s="644">
        <f t="shared" si="26"/>
        <v>0</v>
      </c>
      <c r="G84" s="645">
        <v>44067</v>
      </c>
      <c r="H84" s="646">
        <v>19.600000000000001</v>
      </c>
      <c r="I84" s="636">
        <f t="shared" si="27"/>
        <v>0</v>
      </c>
      <c r="J84" s="636">
        <f t="shared" si="28"/>
        <v>0</v>
      </c>
      <c r="K84" s="637">
        <f t="shared" si="29"/>
        <v>0</v>
      </c>
      <c r="L84" s="647">
        <v>44098</v>
      </c>
      <c r="M84" s="648">
        <v>18.399999999999999</v>
      </c>
      <c r="N84" s="642">
        <f t="shared" si="30"/>
        <v>0</v>
      </c>
      <c r="O84" s="642">
        <f t="shared" si="31"/>
        <v>0</v>
      </c>
      <c r="P84" s="644">
        <f t="shared" si="32"/>
        <v>0</v>
      </c>
      <c r="Q84" s="645">
        <v>44128</v>
      </c>
      <c r="R84" s="646">
        <v>14.2</v>
      </c>
      <c r="S84" s="636">
        <f t="shared" si="33"/>
        <v>0</v>
      </c>
      <c r="T84" s="636">
        <f t="shared" si="34"/>
        <v>0</v>
      </c>
      <c r="U84" s="637">
        <f t="shared" si="35"/>
        <v>0</v>
      </c>
      <c r="V84" s="647">
        <v>44159</v>
      </c>
      <c r="W84" s="648">
        <v>2.4</v>
      </c>
      <c r="X84" s="642">
        <f t="shared" si="36"/>
        <v>17.600000000000001</v>
      </c>
      <c r="Y84" s="642">
        <f t="shared" si="37"/>
        <v>19.600000000000001</v>
      </c>
      <c r="Z84" s="644">
        <f t="shared" si="38"/>
        <v>21.029686609686635</v>
      </c>
      <c r="AA84" s="645">
        <v>44189</v>
      </c>
      <c r="AB84" s="646">
        <v>9.6</v>
      </c>
      <c r="AC84" s="636">
        <f t="shared" si="39"/>
        <v>10.4</v>
      </c>
      <c r="AD84" s="636">
        <f t="shared" si="40"/>
        <v>12.4</v>
      </c>
      <c r="AE84" s="637">
        <f t="shared" si="41"/>
        <v>13.829686609686634</v>
      </c>
    </row>
    <row r="85" spans="2:31" x14ac:dyDescent="0.2">
      <c r="B85" s="647">
        <v>44037</v>
      </c>
      <c r="C85" s="648">
        <v>21.1</v>
      </c>
      <c r="D85" s="642">
        <f t="shared" si="24"/>
        <v>0</v>
      </c>
      <c r="E85" s="642">
        <f t="shared" si="25"/>
        <v>0</v>
      </c>
      <c r="F85" s="644">
        <f t="shared" si="26"/>
        <v>0</v>
      </c>
      <c r="G85" s="645">
        <v>44068</v>
      </c>
      <c r="H85" s="646">
        <v>20.7</v>
      </c>
      <c r="I85" s="636">
        <f t="shared" si="27"/>
        <v>0</v>
      </c>
      <c r="J85" s="636">
        <f t="shared" si="28"/>
        <v>0</v>
      </c>
      <c r="K85" s="637">
        <f t="shared" si="29"/>
        <v>0</v>
      </c>
      <c r="L85" s="647">
        <v>44099</v>
      </c>
      <c r="M85" s="648">
        <v>14.5</v>
      </c>
      <c r="N85" s="642">
        <f t="shared" si="30"/>
        <v>0</v>
      </c>
      <c r="O85" s="642">
        <f t="shared" si="31"/>
        <v>0</v>
      </c>
      <c r="P85" s="644">
        <f t="shared" si="32"/>
        <v>0</v>
      </c>
      <c r="Q85" s="645">
        <v>44129</v>
      </c>
      <c r="R85" s="646">
        <v>13.9</v>
      </c>
      <c r="S85" s="636">
        <f t="shared" si="33"/>
        <v>0</v>
      </c>
      <c r="T85" s="636">
        <f t="shared" si="34"/>
        <v>0</v>
      </c>
      <c r="U85" s="637">
        <f t="shared" si="35"/>
        <v>0</v>
      </c>
      <c r="V85" s="647">
        <v>44160</v>
      </c>
      <c r="W85" s="648">
        <v>-0.5</v>
      </c>
      <c r="X85" s="642">
        <f t="shared" si="36"/>
        <v>20.5</v>
      </c>
      <c r="Y85" s="642">
        <f t="shared" si="37"/>
        <v>22.5</v>
      </c>
      <c r="Z85" s="644">
        <f t="shared" si="38"/>
        <v>23.929686609686634</v>
      </c>
      <c r="AA85" s="645">
        <v>44190</v>
      </c>
      <c r="AB85" s="646">
        <v>3.8</v>
      </c>
      <c r="AC85" s="636">
        <f t="shared" si="39"/>
        <v>16.2</v>
      </c>
      <c r="AD85" s="636">
        <f t="shared" si="40"/>
        <v>18.2</v>
      </c>
      <c r="AE85" s="637">
        <f t="shared" si="41"/>
        <v>19.629686609686633</v>
      </c>
    </row>
    <row r="86" spans="2:31" x14ac:dyDescent="0.2">
      <c r="B86" s="647">
        <v>44038</v>
      </c>
      <c r="C86" s="648">
        <v>22.5</v>
      </c>
      <c r="D86" s="642">
        <f t="shared" si="24"/>
        <v>0</v>
      </c>
      <c r="E86" s="642">
        <f t="shared" si="25"/>
        <v>0</v>
      </c>
      <c r="F86" s="644">
        <f t="shared" si="26"/>
        <v>0</v>
      </c>
      <c r="G86" s="645">
        <v>44069</v>
      </c>
      <c r="H86" s="646">
        <v>21.8</v>
      </c>
      <c r="I86" s="636">
        <f t="shared" si="27"/>
        <v>0</v>
      </c>
      <c r="J86" s="636">
        <f t="shared" si="28"/>
        <v>0</v>
      </c>
      <c r="K86" s="637">
        <f t="shared" si="29"/>
        <v>0</v>
      </c>
      <c r="L86" s="647">
        <v>44100</v>
      </c>
      <c r="M86" s="648">
        <v>10.3</v>
      </c>
      <c r="N86" s="642">
        <f t="shared" si="30"/>
        <v>9.6999999999999993</v>
      </c>
      <c r="O86" s="642">
        <f t="shared" si="31"/>
        <v>11.7</v>
      </c>
      <c r="P86" s="644">
        <f t="shared" si="32"/>
        <v>13.129686609686633</v>
      </c>
      <c r="Q86" s="645">
        <v>44130</v>
      </c>
      <c r="R86" s="646">
        <v>15.2</v>
      </c>
      <c r="S86" s="636">
        <f t="shared" si="33"/>
        <v>0</v>
      </c>
      <c r="T86" s="636">
        <f t="shared" si="34"/>
        <v>0</v>
      </c>
      <c r="U86" s="637">
        <f t="shared" si="35"/>
        <v>0</v>
      </c>
      <c r="V86" s="647">
        <v>44161</v>
      </c>
      <c r="W86" s="648">
        <v>-0.2</v>
      </c>
      <c r="X86" s="642">
        <f t="shared" si="36"/>
        <v>20.2</v>
      </c>
      <c r="Y86" s="642">
        <f t="shared" si="37"/>
        <v>22.2</v>
      </c>
      <c r="Z86" s="644">
        <f t="shared" si="38"/>
        <v>23.629686609686633</v>
      </c>
      <c r="AA86" s="645">
        <v>44191</v>
      </c>
      <c r="AB86" s="646">
        <v>1.5</v>
      </c>
      <c r="AC86" s="636">
        <f t="shared" si="39"/>
        <v>18.5</v>
      </c>
      <c r="AD86" s="636">
        <f t="shared" si="40"/>
        <v>20.5</v>
      </c>
      <c r="AE86" s="637">
        <f t="shared" si="41"/>
        <v>21.929686609686634</v>
      </c>
    </row>
    <row r="87" spans="2:31" x14ac:dyDescent="0.2">
      <c r="B87" s="647">
        <v>44039</v>
      </c>
      <c r="C87" s="648">
        <v>24.8</v>
      </c>
      <c r="D87" s="642">
        <f t="shared" si="24"/>
        <v>0</v>
      </c>
      <c r="E87" s="642">
        <f t="shared" si="25"/>
        <v>0</v>
      </c>
      <c r="F87" s="644">
        <f t="shared" si="26"/>
        <v>0</v>
      </c>
      <c r="G87" s="645">
        <v>44070</v>
      </c>
      <c r="H87" s="646">
        <v>22.6</v>
      </c>
      <c r="I87" s="636">
        <f t="shared" si="27"/>
        <v>0</v>
      </c>
      <c r="J87" s="636">
        <f t="shared" si="28"/>
        <v>0</v>
      </c>
      <c r="K87" s="637">
        <f t="shared" si="29"/>
        <v>0</v>
      </c>
      <c r="L87" s="647">
        <v>44101</v>
      </c>
      <c r="M87" s="648">
        <v>11.1</v>
      </c>
      <c r="N87" s="642">
        <f t="shared" si="30"/>
        <v>8.9</v>
      </c>
      <c r="O87" s="642">
        <f t="shared" si="31"/>
        <v>10.9</v>
      </c>
      <c r="P87" s="644">
        <f t="shared" si="32"/>
        <v>12.329686609686634</v>
      </c>
      <c r="Q87" s="645">
        <v>44131</v>
      </c>
      <c r="R87" s="646">
        <v>12.1</v>
      </c>
      <c r="S87" s="636">
        <f t="shared" si="33"/>
        <v>0</v>
      </c>
      <c r="T87" s="636">
        <f t="shared" si="34"/>
        <v>0</v>
      </c>
      <c r="U87" s="637">
        <f t="shared" si="35"/>
        <v>0</v>
      </c>
      <c r="V87" s="647">
        <v>44162</v>
      </c>
      <c r="W87" s="648">
        <v>0.5</v>
      </c>
      <c r="X87" s="642">
        <f t="shared" si="36"/>
        <v>19.5</v>
      </c>
      <c r="Y87" s="642">
        <f t="shared" si="37"/>
        <v>21.5</v>
      </c>
      <c r="Z87" s="644">
        <f t="shared" si="38"/>
        <v>22.929686609686634</v>
      </c>
      <c r="AA87" s="645">
        <v>44192</v>
      </c>
      <c r="AB87" s="646">
        <v>-0.7</v>
      </c>
      <c r="AC87" s="636">
        <f t="shared" si="39"/>
        <v>20.7</v>
      </c>
      <c r="AD87" s="636">
        <f t="shared" si="40"/>
        <v>22.7</v>
      </c>
      <c r="AE87" s="637">
        <f t="shared" si="41"/>
        <v>24.129686609686633</v>
      </c>
    </row>
    <row r="88" spans="2:31" x14ac:dyDescent="0.2">
      <c r="B88" s="647">
        <v>44040</v>
      </c>
      <c r="C88" s="648">
        <v>26.7</v>
      </c>
      <c r="D88" s="642">
        <f t="shared" si="24"/>
        <v>0</v>
      </c>
      <c r="E88" s="642">
        <f t="shared" si="25"/>
        <v>0</v>
      </c>
      <c r="F88" s="644">
        <f t="shared" si="26"/>
        <v>0</v>
      </c>
      <c r="G88" s="645">
        <v>44071</v>
      </c>
      <c r="H88" s="646">
        <v>23.1</v>
      </c>
      <c r="I88" s="636">
        <f t="shared" si="27"/>
        <v>0</v>
      </c>
      <c r="J88" s="636">
        <f t="shared" si="28"/>
        <v>0</v>
      </c>
      <c r="K88" s="637">
        <f t="shared" si="29"/>
        <v>0</v>
      </c>
      <c r="L88" s="647">
        <v>44102</v>
      </c>
      <c r="M88" s="648">
        <v>10.1</v>
      </c>
      <c r="N88" s="642">
        <f t="shared" si="30"/>
        <v>9.9</v>
      </c>
      <c r="O88" s="642">
        <f t="shared" si="31"/>
        <v>11.9</v>
      </c>
      <c r="P88" s="644">
        <f t="shared" si="32"/>
        <v>13.329686609686634</v>
      </c>
      <c r="Q88" s="645">
        <v>44132</v>
      </c>
      <c r="R88" s="646">
        <v>10.5</v>
      </c>
      <c r="S88" s="636">
        <f t="shared" si="33"/>
        <v>9.5</v>
      </c>
      <c r="T88" s="636">
        <f t="shared" si="34"/>
        <v>11.5</v>
      </c>
      <c r="U88" s="637">
        <f t="shared" si="35"/>
        <v>12.929686609686634</v>
      </c>
      <c r="V88" s="647">
        <v>44163</v>
      </c>
      <c r="W88" s="648">
        <v>1.6</v>
      </c>
      <c r="X88" s="642">
        <f t="shared" si="36"/>
        <v>18.399999999999999</v>
      </c>
      <c r="Y88" s="642">
        <f t="shared" si="37"/>
        <v>20.399999999999999</v>
      </c>
      <c r="Z88" s="644">
        <f t="shared" si="38"/>
        <v>21.829686609686632</v>
      </c>
      <c r="AA88" s="645">
        <v>44193</v>
      </c>
      <c r="AB88" s="646">
        <v>0.3</v>
      </c>
      <c r="AC88" s="636">
        <f t="shared" si="39"/>
        <v>19.7</v>
      </c>
      <c r="AD88" s="636">
        <f t="shared" si="40"/>
        <v>21.7</v>
      </c>
      <c r="AE88" s="637">
        <f t="shared" si="41"/>
        <v>23.129686609686633</v>
      </c>
    </row>
    <row r="89" spans="2:31" x14ac:dyDescent="0.2">
      <c r="B89" s="647">
        <v>44041</v>
      </c>
      <c r="C89" s="653">
        <v>26</v>
      </c>
      <c r="D89" s="642">
        <f t="shared" si="24"/>
        <v>0</v>
      </c>
      <c r="E89" s="642">
        <f t="shared" si="25"/>
        <v>0</v>
      </c>
      <c r="F89" s="644">
        <f t="shared" si="26"/>
        <v>0</v>
      </c>
      <c r="G89" s="645">
        <v>44072</v>
      </c>
      <c r="H89" s="646">
        <v>24.1</v>
      </c>
      <c r="I89" s="636">
        <f t="shared" si="27"/>
        <v>0</v>
      </c>
      <c r="J89" s="636">
        <f t="shared" si="28"/>
        <v>0</v>
      </c>
      <c r="K89" s="637">
        <f t="shared" si="29"/>
        <v>0</v>
      </c>
      <c r="L89" s="647">
        <v>44103</v>
      </c>
      <c r="M89" s="653">
        <v>12.2</v>
      </c>
      <c r="N89" s="642">
        <f t="shared" si="30"/>
        <v>0</v>
      </c>
      <c r="O89" s="642">
        <f t="shared" si="31"/>
        <v>0</v>
      </c>
      <c r="P89" s="644">
        <f t="shared" si="32"/>
        <v>0</v>
      </c>
      <c r="Q89" s="645">
        <v>44133</v>
      </c>
      <c r="R89" s="646">
        <v>9.8000000000000007</v>
      </c>
      <c r="S89" s="636">
        <f t="shared" si="33"/>
        <v>10.199999999999999</v>
      </c>
      <c r="T89" s="636">
        <f t="shared" si="34"/>
        <v>12.2</v>
      </c>
      <c r="U89" s="637">
        <f t="shared" si="35"/>
        <v>13.629686609686633</v>
      </c>
      <c r="V89" s="647">
        <v>44164</v>
      </c>
      <c r="W89" s="653">
        <v>1.7</v>
      </c>
      <c r="X89" s="642">
        <f t="shared" si="36"/>
        <v>18.3</v>
      </c>
      <c r="Y89" s="642">
        <f t="shared" si="37"/>
        <v>20.3</v>
      </c>
      <c r="Z89" s="644">
        <f t="shared" si="38"/>
        <v>21.729686609686635</v>
      </c>
      <c r="AA89" s="645">
        <v>44194</v>
      </c>
      <c r="AB89" s="646">
        <v>2.9</v>
      </c>
      <c r="AC89" s="636">
        <f t="shared" si="39"/>
        <v>17.100000000000001</v>
      </c>
      <c r="AD89" s="636">
        <f t="shared" si="40"/>
        <v>19.100000000000001</v>
      </c>
      <c r="AE89" s="637">
        <f t="shared" si="41"/>
        <v>20.529686609686635</v>
      </c>
    </row>
    <row r="90" spans="2:31" x14ac:dyDescent="0.2">
      <c r="B90" s="647">
        <v>44042</v>
      </c>
      <c r="C90" s="653">
        <v>25.4</v>
      </c>
      <c r="D90" s="642">
        <f t="shared" si="24"/>
        <v>0</v>
      </c>
      <c r="E90" s="642">
        <f t="shared" si="25"/>
        <v>0</v>
      </c>
      <c r="F90" s="644">
        <f t="shared" si="26"/>
        <v>0</v>
      </c>
      <c r="G90" s="645">
        <v>44073</v>
      </c>
      <c r="H90" s="646">
        <v>20</v>
      </c>
      <c r="I90" s="636">
        <f t="shared" si="27"/>
        <v>0</v>
      </c>
      <c r="J90" s="636">
        <f t="shared" si="28"/>
        <v>0</v>
      </c>
      <c r="K90" s="637">
        <f t="shared" si="29"/>
        <v>0</v>
      </c>
      <c r="L90" s="647">
        <v>44104</v>
      </c>
      <c r="M90" s="653">
        <v>14.3</v>
      </c>
      <c r="N90" s="642">
        <f t="shared" si="30"/>
        <v>0</v>
      </c>
      <c r="O90" s="642">
        <f t="shared" si="31"/>
        <v>0</v>
      </c>
      <c r="P90" s="644">
        <f t="shared" si="32"/>
        <v>0</v>
      </c>
      <c r="Q90" s="645">
        <v>44134</v>
      </c>
      <c r="R90" s="646">
        <v>12.5</v>
      </c>
      <c r="S90" s="636">
        <f t="shared" si="33"/>
        <v>0</v>
      </c>
      <c r="T90" s="636">
        <f t="shared" si="34"/>
        <v>0</v>
      </c>
      <c r="U90" s="637">
        <f t="shared" si="35"/>
        <v>0</v>
      </c>
      <c r="V90" s="647">
        <v>44165</v>
      </c>
      <c r="W90" s="653">
        <v>-0.2</v>
      </c>
      <c r="X90" s="642">
        <f t="shared" si="36"/>
        <v>20.2</v>
      </c>
      <c r="Y90" s="642">
        <f t="shared" si="37"/>
        <v>22.2</v>
      </c>
      <c r="Z90" s="644">
        <f t="shared" si="38"/>
        <v>23.629686609686633</v>
      </c>
      <c r="AA90" s="645">
        <v>44195</v>
      </c>
      <c r="AB90" s="646">
        <v>3</v>
      </c>
      <c r="AC90" s="636">
        <f t="shared" si="39"/>
        <v>17</v>
      </c>
      <c r="AD90" s="636">
        <f t="shared" si="40"/>
        <v>19</v>
      </c>
      <c r="AE90" s="637">
        <f t="shared" si="41"/>
        <v>20.429686609686634</v>
      </c>
    </row>
    <row r="91" spans="2:31" ht="13.5" thickBot="1" x14ac:dyDescent="0.25">
      <c r="B91" s="658">
        <v>44043</v>
      </c>
      <c r="C91" s="659">
        <v>26.1</v>
      </c>
      <c r="D91" s="680">
        <f t="shared" si="24"/>
        <v>0</v>
      </c>
      <c r="E91" s="680">
        <f t="shared" si="25"/>
        <v>0</v>
      </c>
      <c r="F91" s="681">
        <f t="shared" si="26"/>
        <v>0</v>
      </c>
      <c r="G91" s="654">
        <v>44074</v>
      </c>
      <c r="H91" s="655">
        <v>15.6</v>
      </c>
      <c r="I91" s="656">
        <f t="shared" si="27"/>
        <v>0</v>
      </c>
      <c r="J91" s="656">
        <f t="shared" si="28"/>
        <v>0</v>
      </c>
      <c r="K91" s="657">
        <f t="shared" si="29"/>
        <v>0</v>
      </c>
      <c r="L91" s="658"/>
      <c r="M91" s="659"/>
      <c r="N91" s="680">
        <f t="shared" si="30"/>
        <v>0</v>
      </c>
      <c r="O91" s="680">
        <f t="shared" si="31"/>
        <v>0</v>
      </c>
      <c r="P91" s="681">
        <f t="shared" si="32"/>
        <v>0</v>
      </c>
      <c r="Q91" s="645">
        <v>44135</v>
      </c>
      <c r="R91" s="655">
        <v>12</v>
      </c>
      <c r="S91" s="656">
        <f t="shared" si="33"/>
        <v>8</v>
      </c>
      <c r="T91" s="656">
        <f t="shared" si="34"/>
        <v>10</v>
      </c>
      <c r="U91" s="657">
        <f t="shared" si="35"/>
        <v>11.429686609686634</v>
      </c>
      <c r="V91" s="658"/>
      <c r="W91" s="659"/>
      <c r="X91" s="680">
        <f t="shared" si="36"/>
        <v>0</v>
      </c>
      <c r="Y91" s="680">
        <f t="shared" si="37"/>
        <v>0</v>
      </c>
      <c r="Z91" s="681">
        <f t="shared" si="38"/>
        <v>0</v>
      </c>
      <c r="AA91" s="654">
        <v>44196</v>
      </c>
      <c r="AB91" s="655">
        <v>2.2999999999999998</v>
      </c>
      <c r="AC91" s="656">
        <f t="shared" si="39"/>
        <v>17.7</v>
      </c>
      <c r="AD91" s="656">
        <f t="shared" si="40"/>
        <v>19.7</v>
      </c>
      <c r="AE91" s="657">
        <f t="shared" si="41"/>
        <v>21.129686609686633</v>
      </c>
    </row>
    <row r="92" spans="2:31" ht="14.25" thickTop="1" thickBot="1" x14ac:dyDescent="0.25">
      <c r="B92" s="665" t="s">
        <v>364</v>
      </c>
      <c r="C92" s="666">
        <f>IF(COUNT(C61:C91) = 0, "ni podatkov",AVERAGE(C61:C91))</f>
        <v>21.803225806451611</v>
      </c>
      <c r="D92" s="667">
        <f>SUM(D61:D91)</f>
        <v>0</v>
      </c>
      <c r="E92" s="682"/>
      <c r="F92" s="682"/>
      <c r="G92" s="665" t="s">
        <v>364</v>
      </c>
      <c r="H92" s="666">
        <f>IF(COUNT(H61:H91) = 0, "ni podatkov",AVERAGE(H61:H91))</f>
        <v>22.21935483870968</v>
      </c>
      <c r="I92" s="667">
        <f>SUM(I61:I91)</f>
        <v>0</v>
      </c>
      <c r="J92" s="667">
        <f t="shared" ref="J92:K92" si="42">SUM(J61:J91)</f>
        <v>0</v>
      </c>
      <c r="K92" s="667">
        <f t="shared" si="42"/>
        <v>0</v>
      </c>
      <c r="L92" s="665" t="s">
        <v>364</v>
      </c>
      <c r="M92" s="666">
        <f>IF(COUNT(M61:M91) = 0, "ni podatkov",AVERAGE(M61:M91))</f>
        <v>17.470000000000002</v>
      </c>
      <c r="N92" s="667">
        <f>SUM(N61:N91)</f>
        <v>28.5</v>
      </c>
      <c r="O92" s="667">
        <f t="shared" ref="O92:P92" si="43">SUM(O61:O91)</f>
        <v>34.5</v>
      </c>
      <c r="P92" s="667">
        <f t="shared" si="43"/>
        <v>38.789059829059902</v>
      </c>
      <c r="Q92" s="665" t="s">
        <v>364</v>
      </c>
      <c r="R92" s="666">
        <f>IF(COUNT(R61:R91) = 0, "ni podatkov",AVERAGE(R61:R91))</f>
        <v>11.877419354838709</v>
      </c>
      <c r="S92" s="667">
        <f>SUM(S61:S91)</f>
        <v>156.29999999999998</v>
      </c>
      <c r="T92" s="667">
        <f t="shared" ref="T92:U92" si="44">SUM(T61:T91)</f>
        <v>186.29999999999998</v>
      </c>
      <c r="U92" s="667">
        <f t="shared" si="44"/>
        <v>207.7452991452995</v>
      </c>
      <c r="V92" s="670" t="s">
        <v>364</v>
      </c>
      <c r="W92" s="666">
        <f>IF(COUNT(W61:W91) = 0, "ni podatkov",AVERAGE(W61:W91))</f>
        <v>5.333333333333333</v>
      </c>
      <c r="X92" s="667">
        <f>SUM(X61:X91)</f>
        <v>426.2</v>
      </c>
      <c r="Y92" s="667">
        <f t="shared" ref="Y92:Z92" si="45">SUM(Y61:Y91)</f>
        <v>482.2</v>
      </c>
      <c r="Z92" s="667">
        <f t="shared" si="45"/>
        <v>522.23122507122571</v>
      </c>
      <c r="AA92" s="670" t="s">
        <v>364</v>
      </c>
      <c r="AB92" s="666">
        <f>IF(COUNT(AB61:AB91) = 0, "ni podatkov",AVERAGE(AB61:AB91))</f>
        <v>2.86774193548387</v>
      </c>
      <c r="AC92" s="667">
        <f>SUM(AC61:AC91)</f>
        <v>531.1</v>
      </c>
      <c r="AD92" s="667">
        <f t="shared" ref="AD92:AE92" si="46">SUM(AD61:AD91)</f>
        <v>593.10000000000014</v>
      </c>
      <c r="AE92" s="667">
        <f t="shared" si="46"/>
        <v>637.42028490028554</v>
      </c>
    </row>
    <row r="93" spans="2:31" x14ac:dyDescent="0.2">
      <c r="B93" s="683"/>
      <c r="C93" s="683"/>
      <c r="D93" s="683"/>
      <c r="E93" s="683"/>
      <c r="F93" s="683"/>
      <c r="G93" s="683"/>
      <c r="H93" s="683"/>
      <c r="I93" s="683"/>
      <c r="J93" s="683"/>
      <c r="K93" s="683"/>
      <c r="L93" s="683"/>
      <c r="M93" s="683"/>
      <c r="N93" s="683"/>
      <c r="O93" s="683"/>
      <c r="P93" s="683"/>
      <c r="Q93" s="683"/>
      <c r="R93" s="683"/>
      <c r="S93" s="683"/>
      <c r="T93" s="683"/>
      <c r="U93" s="683"/>
      <c r="V93" s="683"/>
      <c r="W93" s="683"/>
      <c r="X93" s="683"/>
      <c r="Y93" s="683"/>
      <c r="Z93" s="683"/>
      <c r="AA93" s="683"/>
      <c r="AB93" s="683"/>
      <c r="AC93" s="683"/>
      <c r="AD93" s="683"/>
      <c r="AE93" s="683"/>
    </row>
    <row r="94" spans="2:31" ht="13.5" thickBot="1" x14ac:dyDescent="0.25">
      <c r="B94" s="683"/>
      <c r="C94" s="683"/>
      <c r="D94" s="683"/>
      <c r="E94" s="683"/>
      <c r="F94" s="683"/>
      <c r="G94" s="683"/>
      <c r="H94" s="683"/>
      <c r="I94" s="683"/>
      <c r="J94" s="683"/>
      <c r="K94" s="683"/>
      <c r="L94" s="683"/>
      <c r="M94" s="683"/>
      <c r="N94" s="683"/>
      <c r="O94" s="683"/>
      <c r="P94" s="683"/>
      <c r="Q94" s="683"/>
      <c r="R94" s="683"/>
      <c r="S94" s="683"/>
      <c r="T94" s="683"/>
      <c r="U94" s="683"/>
      <c r="V94" s="683"/>
      <c r="W94" s="683"/>
      <c r="X94" s="683"/>
      <c r="Y94" s="683"/>
      <c r="Z94" s="683"/>
      <c r="AA94" s="683"/>
      <c r="AB94" s="683"/>
      <c r="AC94" s="683"/>
      <c r="AD94" s="683"/>
      <c r="AE94" s="683"/>
    </row>
    <row r="95" spans="2:31" x14ac:dyDescent="0.2">
      <c r="B95" s="1185" t="s">
        <v>353</v>
      </c>
      <c r="C95" s="1186"/>
      <c r="D95" s="1186"/>
      <c r="E95" s="1186"/>
      <c r="F95" s="1187"/>
      <c r="G95" s="1185" t="s">
        <v>354</v>
      </c>
      <c r="H95" s="1186"/>
      <c r="I95" s="1186"/>
      <c r="J95" s="1186"/>
      <c r="K95" s="1187"/>
      <c r="L95" s="1186" t="s">
        <v>355</v>
      </c>
      <c r="M95" s="1186"/>
      <c r="N95" s="1186"/>
      <c r="O95" s="1186"/>
      <c r="P95" s="1187"/>
      <c r="Q95" s="1185" t="s">
        <v>356</v>
      </c>
      <c r="R95" s="1186"/>
      <c r="S95" s="1186"/>
      <c r="T95" s="1186"/>
      <c r="U95" s="1186"/>
      <c r="V95" s="1185" t="s">
        <v>357</v>
      </c>
      <c r="W95" s="1186"/>
      <c r="X95" s="1186"/>
      <c r="Y95" s="1186"/>
      <c r="Z95" s="1187"/>
      <c r="AA95" s="1188" t="s">
        <v>358</v>
      </c>
      <c r="AB95" s="1188"/>
      <c r="AC95" s="1188"/>
      <c r="AD95" s="1188"/>
      <c r="AE95" s="1189"/>
    </row>
    <row r="96" spans="2:31" x14ac:dyDescent="0.2">
      <c r="B96" s="626" t="s">
        <v>359</v>
      </c>
      <c r="C96" s="627" t="s">
        <v>360</v>
      </c>
      <c r="D96" s="628" t="s">
        <v>361</v>
      </c>
      <c r="E96" s="629" t="s">
        <v>362</v>
      </c>
      <c r="F96" s="630" t="s">
        <v>363</v>
      </c>
      <c r="G96" s="626" t="s">
        <v>359</v>
      </c>
      <c r="H96" s="627" t="s">
        <v>360</v>
      </c>
      <c r="I96" s="628" t="s">
        <v>361</v>
      </c>
      <c r="J96" s="629" t="s">
        <v>362</v>
      </c>
      <c r="K96" s="630" t="s">
        <v>363</v>
      </c>
      <c r="L96" s="631" t="s">
        <v>359</v>
      </c>
      <c r="M96" s="627" t="s">
        <v>360</v>
      </c>
      <c r="N96" s="628" t="s">
        <v>361</v>
      </c>
      <c r="O96" s="629" t="s">
        <v>362</v>
      </c>
      <c r="P96" s="632" t="s">
        <v>363</v>
      </c>
      <c r="Q96" s="631" t="s">
        <v>359</v>
      </c>
      <c r="R96" s="627" t="s">
        <v>360</v>
      </c>
      <c r="S96" s="628" t="s">
        <v>361</v>
      </c>
      <c r="T96" s="629" t="s">
        <v>362</v>
      </c>
      <c r="U96" s="633" t="s">
        <v>363</v>
      </c>
      <c r="V96" s="626" t="s">
        <v>359</v>
      </c>
      <c r="W96" s="627" t="s">
        <v>360</v>
      </c>
      <c r="X96" s="628" t="s">
        <v>361</v>
      </c>
      <c r="Y96" s="629" t="s">
        <v>362</v>
      </c>
      <c r="Z96" s="630" t="s">
        <v>363</v>
      </c>
      <c r="AA96" s="631" t="s">
        <v>359</v>
      </c>
      <c r="AB96" s="627" t="s">
        <v>360</v>
      </c>
      <c r="AC96" s="628" t="s">
        <v>361</v>
      </c>
      <c r="AD96" s="629" t="s">
        <v>362</v>
      </c>
      <c r="AE96" s="630" t="s">
        <v>363</v>
      </c>
    </row>
    <row r="97" spans="2:31" x14ac:dyDescent="0.2">
      <c r="B97" s="634">
        <v>44197</v>
      </c>
      <c r="C97" s="635">
        <v>2.5</v>
      </c>
      <c r="D97" s="636">
        <f t="shared" ref="D97:D127" si="47">IF(C97&lt;=12, IF(C97="", 0, $E$21-C97), 0)</f>
        <v>17.5</v>
      </c>
      <c r="E97" s="636">
        <f t="shared" ref="E97:E127" si="48">IF(C97&lt;=12, IF(C97="", 0, $E$22-C97), 0)</f>
        <v>19.5</v>
      </c>
      <c r="F97" s="637">
        <f t="shared" ref="F97:F127" si="49">IF(C97&lt;=12, IF(C97="", 0, $E$23-C97), 0)</f>
        <v>20.929686609686634</v>
      </c>
      <c r="G97" s="638">
        <v>44228</v>
      </c>
      <c r="H97" s="639">
        <v>0.7</v>
      </c>
      <c r="I97" s="640">
        <f t="shared" ref="I97:I127" si="50">IF(H97&lt;=12, IF(H97="", 0, $E$21-H97), 0)</f>
        <v>19.3</v>
      </c>
      <c r="J97" s="640">
        <f t="shared" ref="J97:J127" si="51">IF(H97&lt;=12, IF(H97="", 0, $E$22-H97), 0)</f>
        <v>21.3</v>
      </c>
      <c r="K97" s="641">
        <f t="shared" ref="K97:K127" si="52">IF(H97&lt;=12, IF(H97="", 0, $E$23-H97), 0)</f>
        <v>22.729686609686635</v>
      </c>
      <c r="L97" s="634">
        <v>44256</v>
      </c>
      <c r="M97" s="635">
        <v>5.9</v>
      </c>
      <c r="N97" s="636">
        <f t="shared" ref="N97:N127" si="53">IF(M97&lt;=12, IF(M97="", 0, $E$21-M97), 0)</f>
        <v>14.1</v>
      </c>
      <c r="O97" s="636">
        <f t="shared" ref="O97:O127" si="54">IF(M97&lt;=12, IF(M97="", 0, $E$22-M97), 0)</f>
        <v>16.100000000000001</v>
      </c>
      <c r="P97" s="636">
        <f t="shared" ref="P97:P127" si="55">IF(M97&lt;=12, IF(M97="", 0, $E$23-M97), 0)</f>
        <v>17.529686609686635</v>
      </c>
      <c r="Q97" s="638">
        <v>44287</v>
      </c>
      <c r="R97" s="639">
        <v>17.100000000000001</v>
      </c>
      <c r="S97" s="642">
        <f t="shared" ref="S97:S127" si="56">IF(R97&lt;=12, IF(R97="", 0, $E$21-R97), 0)</f>
        <v>0</v>
      </c>
      <c r="T97" s="642">
        <f t="shared" ref="T97:T127" si="57">IF(R97&lt;=12, IF(R97="", 0, $E$22-R97), 0)</f>
        <v>0</v>
      </c>
      <c r="U97" s="643">
        <f t="shared" ref="U97:U127" si="58">IF(R97&lt;=12, IF(R97="", 0, $E$23-R97), 0)</f>
        <v>0</v>
      </c>
      <c r="V97" s="684">
        <v>44317</v>
      </c>
      <c r="W97" s="685">
        <v>18.100000000000001</v>
      </c>
      <c r="X97" s="636">
        <f t="shared" ref="X97:X127" si="59">IF(W97&lt;=12, IF(W97="", 0, $E$21-W97), 0)</f>
        <v>0</v>
      </c>
      <c r="Y97" s="636">
        <f t="shared" ref="Y97:Y127" si="60">IF(W97&lt;=12, IF(W97="", 0, $E$22-W97), 0)</f>
        <v>0</v>
      </c>
      <c r="Z97" s="637">
        <f t="shared" ref="Z97:Z127" si="61">IF(W97&lt;=12, IF(W97="", 0, $E$23-W97), 0)</f>
        <v>0</v>
      </c>
      <c r="AA97" s="686">
        <v>44348</v>
      </c>
      <c r="AB97" s="687">
        <v>17.5</v>
      </c>
      <c r="AC97" s="642">
        <f t="shared" ref="AC97:AC127" si="62">IF(AB97&lt;=12, IF(AB97="", 0, $E$21-AB97), 0)</f>
        <v>0</v>
      </c>
      <c r="AD97" s="642">
        <f t="shared" ref="AD97:AD127" si="63">IF(AB97&lt;=12, IF(AB97="", 0, $E$22-AB97), 0)</f>
        <v>0</v>
      </c>
      <c r="AE97" s="644">
        <f t="shared" ref="AE97:AE127" si="64">IF(AB97&lt;=12, IF(AB97="", 0, $E$23-AB97), 0)</f>
        <v>0</v>
      </c>
    </row>
    <row r="98" spans="2:31" x14ac:dyDescent="0.2">
      <c r="B98" s="645">
        <v>44198</v>
      </c>
      <c r="C98" s="646">
        <v>4.5999999999999996</v>
      </c>
      <c r="D98" s="636">
        <f t="shared" si="47"/>
        <v>15.4</v>
      </c>
      <c r="E98" s="636">
        <f t="shared" si="48"/>
        <v>17.399999999999999</v>
      </c>
      <c r="F98" s="637">
        <f t="shared" si="49"/>
        <v>18.829686609686632</v>
      </c>
      <c r="G98" s="647">
        <v>44229</v>
      </c>
      <c r="H98" s="648">
        <v>2.4</v>
      </c>
      <c r="I98" s="640">
        <f t="shared" si="50"/>
        <v>17.600000000000001</v>
      </c>
      <c r="J98" s="640">
        <f t="shared" si="51"/>
        <v>19.600000000000001</v>
      </c>
      <c r="K98" s="641">
        <f t="shared" si="52"/>
        <v>21.029686609686635</v>
      </c>
      <c r="L98" s="645">
        <v>44257</v>
      </c>
      <c r="M98" s="646">
        <v>6.3</v>
      </c>
      <c r="N98" s="636">
        <f t="shared" si="53"/>
        <v>13.7</v>
      </c>
      <c r="O98" s="636">
        <f t="shared" si="54"/>
        <v>15.7</v>
      </c>
      <c r="P98" s="636">
        <f t="shared" si="55"/>
        <v>17.129686609686633</v>
      </c>
      <c r="Q98" s="647">
        <v>44288</v>
      </c>
      <c r="R98" s="648">
        <v>15.4</v>
      </c>
      <c r="S98" s="642">
        <f t="shared" si="56"/>
        <v>0</v>
      </c>
      <c r="T98" s="642">
        <f t="shared" si="57"/>
        <v>0</v>
      </c>
      <c r="U98" s="643">
        <f t="shared" si="58"/>
        <v>0</v>
      </c>
      <c r="V98" s="684">
        <v>44318</v>
      </c>
      <c r="W98" s="685">
        <v>11.9</v>
      </c>
      <c r="X98" s="636">
        <f t="shared" si="59"/>
        <v>8.1</v>
      </c>
      <c r="Y98" s="636">
        <f t="shared" si="60"/>
        <v>10.1</v>
      </c>
      <c r="Z98" s="637">
        <f t="shared" si="61"/>
        <v>11.529686609686634</v>
      </c>
      <c r="AA98" s="686">
        <v>44349</v>
      </c>
      <c r="AB98" s="687">
        <v>18.899999999999999</v>
      </c>
      <c r="AC98" s="642">
        <f t="shared" si="62"/>
        <v>0</v>
      </c>
      <c r="AD98" s="642">
        <f t="shared" si="63"/>
        <v>0</v>
      </c>
      <c r="AE98" s="644">
        <f t="shared" si="64"/>
        <v>0</v>
      </c>
    </row>
    <row r="99" spans="2:31" x14ac:dyDescent="0.2">
      <c r="B99" s="645">
        <v>44199</v>
      </c>
      <c r="C99" s="646">
        <v>3.6</v>
      </c>
      <c r="D99" s="636">
        <f t="shared" si="47"/>
        <v>16.399999999999999</v>
      </c>
      <c r="E99" s="636">
        <f t="shared" si="48"/>
        <v>18.399999999999999</v>
      </c>
      <c r="F99" s="637">
        <f t="shared" si="49"/>
        <v>19.829686609686632</v>
      </c>
      <c r="G99" s="647">
        <v>44230</v>
      </c>
      <c r="H99" s="648">
        <v>8.8000000000000007</v>
      </c>
      <c r="I99" s="640">
        <f t="shared" si="50"/>
        <v>11.2</v>
      </c>
      <c r="J99" s="640">
        <f t="shared" si="51"/>
        <v>13.2</v>
      </c>
      <c r="K99" s="641">
        <f t="shared" si="52"/>
        <v>14.629686609686633</v>
      </c>
      <c r="L99" s="645">
        <v>44258</v>
      </c>
      <c r="M99" s="646">
        <v>8.4</v>
      </c>
      <c r="N99" s="636">
        <f t="shared" si="53"/>
        <v>11.6</v>
      </c>
      <c r="O99" s="636">
        <f t="shared" si="54"/>
        <v>13.6</v>
      </c>
      <c r="P99" s="636">
        <f t="shared" si="55"/>
        <v>15.029686609686634</v>
      </c>
      <c r="Q99" s="647">
        <v>44289</v>
      </c>
      <c r="R99" s="648">
        <v>8.6</v>
      </c>
      <c r="S99" s="642">
        <f t="shared" si="56"/>
        <v>11.4</v>
      </c>
      <c r="T99" s="642">
        <f t="shared" si="57"/>
        <v>13.4</v>
      </c>
      <c r="U99" s="643">
        <f t="shared" si="58"/>
        <v>14.829686609686634</v>
      </c>
      <c r="V99" s="684">
        <v>44319</v>
      </c>
      <c r="W99" s="685">
        <v>10.199999999999999</v>
      </c>
      <c r="X99" s="636">
        <f t="shared" si="59"/>
        <v>9.8000000000000007</v>
      </c>
      <c r="Y99" s="636">
        <f t="shared" si="60"/>
        <v>11.8</v>
      </c>
      <c r="Z99" s="637">
        <f t="shared" si="61"/>
        <v>13.229686609686635</v>
      </c>
      <c r="AA99" s="686">
        <v>44350</v>
      </c>
      <c r="AB99" s="687">
        <v>19.5</v>
      </c>
      <c r="AC99" s="642">
        <f t="shared" si="62"/>
        <v>0</v>
      </c>
      <c r="AD99" s="642">
        <f t="shared" si="63"/>
        <v>0</v>
      </c>
      <c r="AE99" s="644">
        <f t="shared" si="64"/>
        <v>0</v>
      </c>
    </row>
    <row r="100" spans="2:31" x14ac:dyDescent="0.2">
      <c r="B100" s="645">
        <v>44200</v>
      </c>
      <c r="C100" s="646">
        <v>3.4</v>
      </c>
      <c r="D100" s="636">
        <f t="shared" si="47"/>
        <v>16.600000000000001</v>
      </c>
      <c r="E100" s="636">
        <f t="shared" si="48"/>
        <v>18.600000000000001</v>
      </c>
      <c r="F100" s="637">
        <f t="shared" si="49"/>
        <v>20.029686609686635</v>
      </c>
      <c r="G100" s="647">
        <v>44231</v>
      </c>
      <c r="H100" s="648">
        <v>10.199999999999999</v>
      </c>
      <c r="I100" s="640">
        <f t="shared" si="50"/>
        <v>9.8000000000000007</v>
      </c>
      <c r="J100" s="640">
        <f t="shared" si="51"/>
        <v>11.8</v>
      </c>
      <c r="K100" s="641">
        <f t="shared" si="52"/>
        <v>13.229686609686635</v>
      </c>
      <c r="L100" s="645">
        <v>44259</v>
      </c>
      <c r="M100" s="646">
        <v>8.9</v>
      </c>
      <c r="N100" s="636">
        <f t="shared" si="53"/>
        <v>11.1</v>
      </c>
      <c r="O100" s="636">
        <f t="shared" si="54"/>
        <v>13.1</v>
      </c>
      <c r="P100" s="636">
        <f t="shared" si="55"/>
        <v>14.529686609686634</v>
      </c>
      <c r="Q100" s="647">
        <v>44290</v>
      </c>
      <c r="R100" s="648">
        <v>7</v>
      </c>
      <c r="S100" s="642">
        <f t="shared" si="56"/>
        <v>13</v>
      </c>
      <c r="T100" s="642">
        <f t="shared" si="57"/>
        <v>15</v>
      </c>
      <c r="U100" s="643">
        <f t="shared" si="58"/>
        <v>16.429686609686634</v>
      </c>
      <c r="V100" s="684">
        <v>44320</v>
      </c>
      <c r="W100" s="685">
        <v>12.7</v>
      </c>
      <c r="X100" s="636">
        <f t="shared" si="59"/>
        <v>0</v>
      </c>
      <c r="Y100" s="636">
        <f t="shared" si="60"/>
        <v>0</v>
      </c>
      <c r="Z100" s="637">
        <f t="shared" si="61"/>
        <v>0</v>
      </c>
      <c r="AA100" s="686">
        <v>44351</v>
      </c>
      <c r="AB100" s="687">
        <v>20.3</v>
      </c>
      <c r="AC100" s="642">
        <f t="shared" si="62"/>
        <v>0</v>
      </c>
      <c r="AD100" s="642">
        <f t="shared" si="63"/>
        <v>0</v>
      </c>
      <c r="AE100" s="644">
        <f t="shared" si="64"/>
        <v>0</v>
      </c>
    </row>
    <row r="101" spans="2:31" x14ac:dyDescent="0.2">
      <c r="B101" s="645">
        <v>44201</v>
      </c>
      <c r="C101" s="646">
        <v>3.5</v>
      </c>
      <c r="D101" s="636">
        <f t="shared" si="47"/>
        <v>16.5</v>
      </c>
      <c r="E101" s="636">
        <f t="shared" si="48"/>
        <v>18.5</v>
      </c>
      <c r="F101" s="637">
        <f t="shared" si="49"/>
        <v>19.929686609686634</v>
      </c>
      <c r="G101" s="647">
        <v>44232</v>
      </c>
      <c r="H101" s="648">
        <v>10.7</v>
      </c>
      <c r="I101" s="640">
        <f t="shared" si="50"/>
        <v>9.3000000000000007</v>
      </c>
      <c r="J101" s="640">
        <f t="shared" si="51"/>
        <v>11.3</v>
      </c>
      <c r="K101" s="641">
        <f t="shared" si="52"/>
        <v>12.729686609686635</v>
      </c>
      <c r="L101" s="645">
        <v>44260</v>
      </c>
      <c r="M101" s="646">
        <v>7.4</v>
      </c>
      <c r="N101" s="636">
        <f t="shared" si="53"/>
        <v>12.6</v>
      </c>
      <c r="O101" s="636">
        <f t="shared" si="54"/>
        <v>14.6</v>
      </c>
      <c r="P101" s="636">
        <f t="shared" si="55"/>
        <v>16.029686609686635</v>
      </c>
      <c r="Q101" s="647">
        <v>44291</v>
      </c>
      <c r="R101" s="648">
        <v>7.4</v>
      </c>
      <c r="S101" s="642">
        <f t="shared" si="56"/>
        <v>12.6</v>
      </c>
      <c r="T101" s="642">
        <f t="shared" si="57"/>
        <v>14.6</v>
      </c>
      <c r="U101" s="643">
        <f t="shared" si="58"/>
        <v>16.029686609686635</v>
      </c>
      <c r="V101" s="684">
        <v>44321</v>
      </c>
      <c r="W101" s="685">
        <v>11.6</v>
      </c>
      <c r="X101" s="636">
        <f t="shared" si="59"/>
        <v>8.4</v>
      </c>
      <c r="Y101" s="636">
        <f t="shared" si="60"/>
        <v>10.4</v>
      </c>
      <c r="Z101" s="637">
        <f t="shared" si="61"/>
        <v>11.829686609686634</v>
      </c>
      <c r="AA101" s="686">
        <v>44352</v>
      </c>
      <c r="AB101" s="687">
        <v>22.5</v>
      </c>
      <c r="AC101" s="642">
        <f t="shared" si="62"/>
        <v>0</v>
      </c>
      <c r="AD101" s="642">
        <f t="shared" si="63"/>
        <v>0</v>
      </c>
      <c r="AE101" s="644">
        <f t="shared" si="64"/>
        <v>0</v>
      </c>
    </row>
    <row r="102" spans="2:31" x14ac:dyDescent="0.2">
      <c r="B102" s="645">
        <v>44202</v>
      </c>
      <c r="C102" s="646">
        <v>1.2</v>
      </c>
      <c r="D102" s="636">
        <f t="shared" si="47"/>
        <v>18.8</v>
      </c>
      <c r="E102" s="636">
        <f t="shared" si="48"/>
        <v>20.8</v>
      </c>
      <c r="F102" s="637">
        <f t="shared" si="49"/>
        <v>22.229686609686635</v>
      </c>
      <c r="G102" s="647">
        <v>44233</v>
      </c>
      <c r="H102" s="648">
        <v>11.1</v>
      </c>
      <c r="I102" s="640">
        <f t="shared" si="50"/>
        <v>8.9</v>
      </c>
      <c r="J102" s="640">
        <f t="shared" si="51"/>
        <v>10.9</v>
      </c>
      <c r="K102" s="641">
        <f t="shared" si="52"/>
        <v>12.329686609686634</v>
      </c>
      <c r="L102" s="645">
        <v>44261</v>
      </c>
      <c r="M102" s="646">
        <v>2.1</v>
      </c>
      <c r="N102" s="636">
        <f t="shared" si="53"/>
        <v>17.899999999999999</v>
      </c>
      <c r="O102" s="636">
        <f t="shared" si="54"/>
        <v>19.899999999999999</v>
      </c>
      <c r="P102" s="636">
        <f t="shared" si="55"/>
        <v>21.329686609686632</v>
      </c>
      <c r="Q102" s="647">
        <v>44292</v>
      </c>
      <c r="R102" s="648">
        <v>-0.4</v>
      </c>
      <c r="S102" s="642">
        <f t="shared" si="56"/>
        <v>20.399999999999999</v>
      </c>
      <c r="T102" s="642">
        <f t="shared" si="57"/>
        <v>22.4</v>
      </c>
      <c r="U102" s="643">
        <f t="shared" si="58"/>
        <v>23.829686609686632</v>
      </c>
      <c r="V102" s="684">
        <v>44322</v>
      </c>
      <c r="W102" s="685">
        <v>6.2</v>
      </c>
      <c r="X102" s="636">
        <f t="shared" si="59"/>
        <v>13.8</v>
      </c>
      <c r="Y102" s="636">
        <f t="shared" si="60"/>
        <v>15.8</v>
      </c>
      <c r="Z102" s="637">
        <f t="shared" si="61"/>
        <v>17.229686609686635</v>
      </c>
      <c r="AA102" s="686">
        <v>44353</v>
      </c>
      <c r="AB102" s="687">
        <v>19.3</v>
      </c>
      <c r="AC102" s="642">
        <f t="shared" si="62"/>
        <v>0</v>
      </c>
      <c r="AD102" s="642">
        <f t="shared" si="63"/>
        <v>0</v>
      </c>
      <c r="AE102" s="644">
        <f t="shared" si="64"/>
        <v>0</v>
      </c>
    </row>
    <row r="103" spans="2:31" x14ac:dyDescent="0.2">
      <c r="B103" s="645">
        <v>44203</v>
      </c>
      <c r="C103" s="646">
        <v>1.1000000000000001</v>
      </c>
      <c r="D103" s="636">
        <f t="shared" si="47"/>
        <v>18.899999999999999</v>
      </c>
      <c r="E103" s="636">
        <f t="shared" si="48"/>
        <v>20.9</v>
      </c>
      <c r="F103" s="637">
        <f t="shared" si="49"/>
        <v>22.329686609686632</v>
      </c>
      <c r="G103" s="647">
        <v>44234</v>
      </c>
      <c r="H103" s="648">
        <v>10.1</v>
      </c>
      <c r="I103" s="640">
        <f t="shared" si="50"/>
        <v>9.9</v>
      </c>
      <c r="J103" s="640">
        <f t="shared" si="51"/>
        <v>11.9</v>
      </c>
      <c r="K103" s="641">
        <f t="shared" si="52"/>
        <v>13.329686609686634</v>
      </c>
      <c r="L103" s="645">
        <v>44262</v>
      </c>
      <c r="M103" s="646">
        <v>3.2</v>
      </c>
      <c r="N103" s="636">
        <f t="shared" si="53"/>
        <v>16.8</v>
      </c>
      <c r="O103" s="636">
        <f t="shared" si="54"/>
        <v>18.8</v>
      </c>
      <c r="P103" s="636">
        <f t="shared" si="55"/>
        <v>20.229686609686635</v>
      </c>
      <c r="Q103" s="647">
        <v>44293</v>
      </c>
      <c r="R103" s="648">
        <v>0.3</v>
      </c>
      <c r="S103" s="642">
        <f t="shared" si="56"/>
        <v>19.7</v>
      </c>
      <c r="T103" s="642">
        <f t="shared" si="57"/>
        <v>21.7</v>
      </c>
      <c r="U103" s="643">
        <f t="shared" si="58"/>
        <v>23.129686609686633</v>
      </c>
      <c r="V103" s="684">
        <v>44323</v>
      </c>
      <c r="W103" s="685">
        <v>8.1999999999999993</v>
      </c>
      <c r="X103" s="636">
        <f t="shared" si="59"/>
        <v>11.8</v>
      </c>
      <c r="Y103" s="636">
        <f t="shared" si="60"/>
        <v>13.8</v>
      </c>
      <c r="Z103" s="637">
        <f t="shared" si="61"/>
        <v>15.229686609686635</v>
      </c>
      <c r="AA103" s="686">
        <v>44354</v>
      </c>
      <c r="AB103" s="687">
        <v>18</v>
      </c>
      <c r="AC103" s="642">
        <f t="shared" si="62"/>
        <v>0</v>
      </c>
      <c r="AD103" s="642">
        <f t="shared" si="63"/>
        <v>0</v>
      </c>
      <c r="AE103" s="644">
        <f t="shared" si="64"/>
        <v>0</v>
      </c>
    </row>
    <row r="104" spans="2:31" x14ac:dyDescent="0.2">
      <c r="B104" s="645">
        <v>44204</v>
      </c>
      <c r="C104" s="646">
        <v>1.1000000000000001</v>
      </c>
      <c r="D104" s="636">
        <f t="shared" si="47"/>
        <v>18.899999999999999</v>
      </c>
      <c r="E104" s="636">
        <f t="shared" si="48"/>
        <v>20.9</v>
      </c>
      <c r="F104" s="637">
        <f t="shared" si="49"/>
        <v>22.329686609686632</v>
      </c>
      <c r="G104" s="647">
        <v>44235</v>
      </c>
      <c r="H104" s="648">
        <v>8</v>
      </c>
      <c r="I104" s="640">
        <f t="shared" si="50"/>
        <v>12</v>
      </c>
      <c r="J104" s="640">
        <f t="shared" si="51"/>
        <v>14</v>
      </c>
      <c r="K104" s="641">
        <f t="shared" si="52"/>
        <v>15.429686609686634</v>
      </c>
      <c r="L104" s="645">
        <v>44263</v>
      </c>
      <c r="M104" s="646">
        <v>6.1</v>
      </c>
      <c r="N104" s="636">
        <f t="shared" si="53"/>
        <v>13.9</v>
      </c>
      <c r="O104" s="636">
        <f t="shared" si="54"/>
        <v>15.9</v>
      </c>
      <c r="P104" s="636">
        <f t="shared" si="55"/>
        <v>17.329686609686632</v>
      </c>
      <c r="Q104" s="647">
        <v>44294</v>
      </c>
      <c r="R104" s="648">
        <v>5.5</v>
      </c>
      <c r="S104" s="642">
        <f t="shared" si="56"/>
        <v>14.5</v>
      </c>
      <c r="T104" s="642">
        <f t="shared" si="57"/>
        <v>16.5</v>
      </c>
      <c r="U104" s="643">
        <f t="shared" si="58"/>
        <v>17.929686609686634</v>
      </c>
      <c r="V104" s="684">
        <v>44324</v>
      </c>
      <c r="W104" s="685">
        <v>11.8</v>
      </c>
      <c r="X104" s="636">
        <f t="shared" si="59"/>
        <v>8.1999999999999993</v>
      </c>
      <c r="Y104" s="636">
        <f t="shared" si="60"/>
        <v>10.199999999999999</v>
      </c>
      <c r="Z104" s="637">
        <f t="shared" si="61"/>
        <v>11.629686609686633</v>
      </c>
      <c r="AA104" s="686">
        <v>44355</v>
      </c>
      <c r="AB104" s="687">
        <v>21</v>
      </c>
      <c r="AC104" s="642">
        <f t="shared" si="62"/>
        <v>0</v>
      </c>
      <c r="AD104" s="642">
        <f t="shared" si="63"/>
        <v>0</v>
      </c>
      <c r="AE104" s="644">
        <f t="shared" si="64"/>
        <v>0</v>
      </c>
    </row>
    <row r="105" spans="2:31" x14ac:dyDescent="0.2">
      <c r="B105" s="645">
        <v>44205</v>
      </c>
      <c r="C105" s="646">
        <v>-0.9</v>
      </c>
      <c r="D105" s="636">
        <f t="shared" si="47"/>
        <v>20.9</v>
      </c>
      <c r="E105" s="636">
        <f t="shared" si="48"/>
        <v>22.9</v>
      </c>
      <c r="F105" s="637">
        <f t="shared" si="49"/>
        <v>24.329686609686632</v>
      </c>
      <c r="G105" s="647">
        <v>44236</v>
      </c>
      <c r="H105" s="648">
        <v>5.5</v>
      </c>
      <c r="I105" s="640">
        <f t="shared" si="50"/>
        <v>14.5</v>
      </c>
      <c r="J105" s="640">
        <f t="shared" si="51"/>
        <v>16.5</v>
      </c>
      <c r="K105" s="641">
        <f t="shared" si="52"/>
        <v>17.929686609686634</v>
      </c>
      <c r="L105" s="645">
        <v>44264</v>
      </c>
      <c r="M105" s="646">
        <v>4</v>
      </c>
      <c r="N105" s="636">
        <f t="shared" si="53"/>
        <v>16</v>
      </c>
      <c r="O105" s="636">
        <f t="shared" si="54"/>
        <v>18</v>
      </c>
      <c r="P105" s="636">
        <f t="shared" si="55"/>
        <v>19.429686609686634</v>
      </c>
      <c r="Q105" s="647">
        <v>44295</v>
      </c>
      <c r="R105" s="648">
        <v>8.3000000000000007</v>
      </c>
      <c r="S105" s="642">
        <f t="shared" si="56"/>
        <v>11.7</v>
      </c>
      <c r="T105" s="642">
        <f t="shared" si="57"/>
        <v>13.7</v>
      </c>
      <c r="U105" s="643">
        <f t="shared" si="58"/>
        <v>15.129686609686633</v>
      </c>
      <c r="V105" s="684">
        <v>44325</v>
      </c>
      <c r="W105" s="685">
        <v>16.600000000000001</v>
      </c>
      <c r="X105" s="636">
        <f t="shared" si="59"/>
        <v>0</v>
      </c>
      <c r="Y105" s="636">
        <f t="shared" si="60"/>
        <v>0</v>
      </c>
      <c r="Z105" s="637">
        <f t="shared" si="61"/>
        <v>0</v>
      </c>
      <c r="AA105" s="686">
        <v>44356</v>
      </c>
      <c r="AB105" s="687">
        <v>21.1</v>
      </c>
      <c r="AC105" s="642">
        <f t="shared" si="62"/>
        <v>0</v>
      </c>
      <c r="AD105" s="642">
        <f t="shared" si="63"/>
        <v>0</v>
      </c>
      <c r="AE105" s="644">
        <f t="shared" si="64"/>
        <v>0</v>
      </c>
    </row>
    <row r="106" spans="2:31" x14ac:dyDescent="0.2">
      <c r="B106" s="645">
        <v>44206</v>
      </c>
      <c r="C106" s="646">
        <v>-0.8</v>
      </c>
      <c r="D106" s="636">
        <f t="shared" si="47"/>
        <v>20.8</v>
      </c>
      <c r="E106" s="636">
        <f t="shared" si="48"/>
        <v>22.8</v>
      </c>
      <c r="F106" s="637">
        <f t="shared" si="49"/>
        <v>24.229686609686635</v>
      </c>
      <c r="G106" s="647">
        <v>44237</v>
      </c>
      <c r="H106" s="648">
        <v>4.9000000000000004</v>
      </c>
      <c r="I106" s="640">
        <f t="shared" si="50"/>
        <v>15.1</v>
      </c>
      <c r="J106" s="640">
        <f t="shared" si="51"/>
        <v>17.100000000000001</v>
      </c>
      <c r="K106" s="641">
        <f t="shared" si="52"/>
        <v>18.529686609686635</v>
      </c>
      <c r="L106" s="645">
        <v>44265</v>
      </c>
      <c r="M106" s="646">
        <v>3.9</v>
      </c>
      <c r="N106" s="636">
        <f t="shared" si="53"/>
        <v>16.100000000000001</v>
      </c>
      <c r="O106" s="636">
        <f t="shared" si="54"/>
        <v>18.100000000000001</v>
      </c>
      <c r="P106" s="636">
        <f t="shared" si="55"/>
        <v>19.529686609686635</v>
      </c>
      <c r="Q106" s="647">
        <v>44296</v>
      </c>
      <c r="R106" s="648">
        <v>11.3</v>
      </c>
      <c r="S106" s="642">
        <f t="shared" si="56"/>
        <v>8.6999999999999993</v>
      </c>
      <c r="T106" s="642">
        <f t="shared" si="57"/>
        <v>10.7</v>
      </c>
      <c r="U106" s="643">
        <f t="shared" si="58"/>
        <v>12.129686609686633</v>
      </c>
      <c r="V106" s="684">
        <v>44326</v>
      </c>
      <c r="W106" s="685">
        <v>18.7</v>
      </c>
      <c r="X106" s="636">
        <f t="shared" si="59"/>
        <v>0</v>
      </c>
      <c r="Y106" s="636">
        <f t="shared" si="60"/>
        <v>0</v>
      </c>
      <c r="Z106" s="637">
        <f t="shared" si="61"/>
        <v>0</v>
      </c>
      <c r="AA106" s="686">
        <v>44357</v>
      </c>
      <c r="AB106" s="687">
        <v>20.3</v>
      </c>
      <c r="AC106" s="642">
        <f t="shared" si="62"/>
        <v>0</v>
      </c>
      <c r="AD106" s="642">
        <f t="shared" si="63"/>
        <v>0</v>
      </c>
      <c r="AE106" s="644">
        <f t="shared" si="64"/>
        <v>0</v>
      </c>
    </row>
    <row r="107" spans="2:31" x14ac:dyDescent="0.2">
      <c r="B107" s="645">
        <v>44207</v>
      </c>
      <c r="C107" s="646">
        <v>-1.6</v>
      </c>
      <c r="D107" s="636">
        <f t="shared" si="47"/>
        <v>21.6</v>
      </c>
      <c r="E107" s="636">
        <f t="shared" si="48"/>
        <v>23.6</v>
      </c>
      <c r="F107" s="637">
        <f t="shared" si="49"/>
        <v>25.029686609686635</v>
      </c>
      <c r="G107" s="647">
        <v>44238</v>
      </c>
      <c r="H107" s="648">
        <v>-0.7</v>
      </c>
      <c r="I107" s="640">
        <f t="shared" si="50"/>
        <v>20.7</v>
      </c>
      <c r="J107" s="640">
        <f t="shared" si="51"/>
        <v>22.7</v>
      </c>
      <c r="K107" s="641">
        <f t="shared" si="52"/>
        <v>24.129686609686633</v>
      </c>
      <c r="L107" s="645">
        <v>44266</v>
      </c>
      <c r="M107" s="646">
        <v>6.5</v>
      </c>
      <c r="N107" s="636">
        <f t="shared" si="53"/>
        <v>13.5</v>
      </c>
      <c r="O107" s="636">
        <f t="shared" si="54"/>
        <v>15.5</v>
      </c>
      <c r="P107" s="636">
        <f t="shared" si="55"/>
        <v>16.929686609686634</v>
      </c>
      <c r="Q107" s="647">
        <v>44297</v>
      </c>
      <c r="R107" s="648">
        <v>9.4</v>
      </c>
      <c r="S107" s="642">
        <f t="shared" si="56"/>
        <v>10.6</v>
      </c>
      <c r="T107" s="642">
        <f t="shared" si="57"/>
        <v>12.6</v>
      </c>
      <c r="U107" s="643">
        <f t="shared" si="58"/>
        <v>14.029686609686634</v>
      </c>
      <c r="V107" s="684">
        <v>44327</v>
      </c>
      <c r="W107" s="685">
        <v>19.5</v>
      </c>
      <c r="X107" s="636">
        <f t="shared" si="59"/>
        <v>0</v>
      </c>
      <c r="Y107" s="636">
        <f t="shared" si="60"/>
        <v>0</v>
      </c>
      <c r="Z107" s="637">
        <f t="shared" si="61"/>
        <v>0</v>
      </c>
      <c r="AA107" s="686">
        <v>44358</v>
      </c>
      <c r="AB107" s="687">
        <v>18.399999999999999</v>
      </c>
      <c r="AC107" s="642">
        <f t="shared" si="62"/>
        <v>0</v>
      </c>
      <c r="AD107" s="642">
        <f t="shared" si="63"/>
        <v>0</v>
      </c>
      <c r="AE107" s="644">
        <f t="shared" si="64"/>
        <v>0</v>
      </c>
    </row>
    <row r="108" spans="2:31" x14ac:dyDescent="0.2">
      <c r="B108" s="645">
        <v>44208</v>
      </c>
      <c r="C108" s="646">
        <v>-3.9</v>
      </c>
      <c r="D108" s="636">
        <f t="shared" si="47"/>
        <v>23.9</v>
      </c>
      <c r="E108" s="636">
        <f t="shared" si="48"/>
        <v>25.9</v>
      </c>
      <c r="F108" s="637">
        <f t="shared" si="49"/>
        <v>27.329686609686632</v>
      </c>
      <c r="G108" s="647">
        <v>44239</v>
      </c>
      <c r="H108" s="648">
        <v>-4.5999999999999996</v>
      </c>
      <c r="I108" s="640">
        <f t="shared" si="50"/>
        <v>24.6</v>
      </c>
      <c r="J108" s="640">
        <f t="shared" si="51"/>
        <v>26.6</v>
      </c>
      <c r="K108" s="641">
        <f t="shared" si="52"/>
        <v>28.029686609686635</v>
      </c>
      <c r="L108" s="645">
        <v>44267</v>
      </c>
      <c r="M108" s="646">
        <v>7.9</v>
      </c>
      <c r="N108" s="636">
        <f t="shared" si="53"/>
        <v>12.1</v>
      </c>
      <c r="O108" s="636">
        <f t="shared" si="54"/>
        <v>14.1</v>
      </c>
      <c r="P108" s="636">
        <f t="shared" si="55"/>
        <v>15.529686609686634</v>
      </c>
      <c r="Q108" s="647">
        <v>44298</v>
      </c>
      <c r="R108" s="648">
        <v>9.4</v>
      </c>
      <c r="S108" s="642">
        <f t="shared" si="56"/>
        <v>10.6</v>
      </c>
      <c r="T108" s="642">
        <f t="shared" si="57"/>
        <v>12.6</v>
      </c>
      <c r="U108" s="643">
        <f t="shared" si="58"/>
        <v>14.029686609686634</v>
      </c>
      <c r="V108" s="684">
        <v>44328</v>
      </c>
      <c r="W108" s="685">
        <v>14.2</v>
      </c>
      <c r="X108" s="636">
        <f t="shared" si="59"/>
        <v>0</v>
      </c>
      <c r="Y108" s="636">
        <f t="shared" si="60"/>
        <v>0</v>
      </c>
      <c r="Z108" s="637">
        <f t="shared" si="61"/>
        <v>0</v>
      </c>
      <c r="AA108" s="686">
        <v>44359</v>
      </c>
      <c r="AB108" s="687">
        <v>22.6</v>
      </c>
      <c r="AC108" s="642">
        <f t="shared" si="62"/>
        <v>0</v>
      </c>
      <c r="AD108" s="642">
        <f t="shared" si="63"/>
        <v>0</v>
      </c>
      <c r="AE108" s="644">
        <f t="shared" si="64"/>
        <v>0</v>
      </c>
    </row>
    <row r="109" spans="2:31" x14ac:dyDescent="0.2">
      <c r="B109" s="645">
        <v>44209</v>
      </c>
      <c r="C109" s="646">
        <v>-2.2999999999999998</v>
      </c>
      <c r="D109" s="636">
        <f t="shared" si="47"/>
        <v>22.3</v>
      </c>
      <c r="E109" s="636">
        <f t="shared" si="48"/>
        <v>24.3</v>
      </c>
      <c r="F109" s="637">
        <f t="shared" si="49"/>
        <v>25.729686609686635</v>
      </c>
      <c r="G109" s="647">
        <v>44240</v>
      </c>
      <c r="H109" s="648">
        <v>-3.8</v>
      </c>
      <c r="I109" s="640">
        <f t="shared" si="50"/>
        <v>23.8</v>
      </c>
      <c r="J109" s="640">
        <f t="shared" si="51"/>
        <v>25.8</v>
      </c>
      <c r="K109" s="641">
        <f t="shared" si="52"/>
        <v>27.229686609686635</v>
      </c>
      <c r="L109" s="645">
        <v>44268</v>
      </c>
      <c r="M109" s="646">
        <v>9.4</v>
      </c>
      <c r="N109" s="636">
        <f t="shared" si="53"/>
        <v>10.6</v>
      </c>
      <c r="O109" s="636">
        <f t="shared" si="54"/>
        <v>12.6</v>
      </c>
      <c r="P109" s="636">
        <f t="shared" si="55"/>
        <v>14.029686609686634</v>
      </c>
      <c r="Q109" s="647">
        <v>44299</v>
      </c>
      <c r="R109" s="648">
        <v>3.1</v>
      </c>
      <c r="S109" s="642">
        <f t="shared" si="56"/>
        <v>16.899999999999999</v>
      </c>
      <c r="T109" s="642">
        <f t="shared" si="57"/>
        <v>18.899999999999999</v>
      </c>
      <c r="U109" s="643">
        <f t="shared" si="58"/>
        <v>20.329686609686632</v>
      </c>
      <c r="V109" s="684">
        <v>44329</v>
      </c>
      <c r="W109" s="685">
        <v>13.4</v>
      </c>
      <c r="X109" s="636">
        <f t="shared" si="59"/>
        <v>0</v>
      </c>
      <c r="Y109" s="636">
        <f t="shared" si="60"/>
        <v>0</v>
      </c>
      <c r="Z109" s="637">
        <f t="shared" si="61"/>
        <v>0</v>
      </c>
      <c r="AA109" s="686">
        <v>44360</v>
      </c>
      <c r="AB109" s="687">
        <v>21.6</v>
      </c>
      <c r="AC109" s="642">
        <f t="shared" si="62"/>
        <v>0</v>
      </c>
      <c r="AD109" s="642">
        <f t="shared" si="63"/>
        <v>0</v>
      </c>
      <c r="AE109" s="644">
        <f t="shared" si="64"/>
        <v>0</v>
      </c>
    </row>
    <row r="110" spans="2:31" x14ac:dyDescent="0.2">
      <c r="B110" s="645">
        <v>44210</v>
      </c>
      <c r="C110" s="646">
        <v>-0.8</v>
      </c>
      <c r="D110" s="636">
        <f t="shared" si="47"/>
        <v>20.8</v>
      </c>
      <c r="E110" s="636">
        <f t="shared" si="48"/>
        <v>22.8</v>
      </c>
      <c r="F110" s="637">
        <f t="shared" si="49"/>
        <v>24.229686609686635</v>
      </c>
      <c r="G110" s="647">
        <v>44241</v>
      </c>
      <c r="H110" s="648">
        <v>-1.2</v>
      </c>
      <c r="I110" s="640">
        <f t="shared" si="50"/>
        <v>21.2</v>
      </c>
      <c r="J110" s="640">
        <f t="shared" si="51"/>
        <v>23.2</v>
      </c>
      <c r="K110" s="641">
        <f t="shared" si="52"/>
        <v>24.629686609686633</v>
      </c>
      <c r="L110" s="645">
        <v>44269</v>
      </c>
      <c r="M110" s="646">
        <v>3</v>
      </c>
      <c r="N110" s="636">
        <f t="shared" si="53"/>
        <v>17</v>
      </c>
      <c r="O110" s="636">
        <f t="shared" si="54"/>
        <v>19</v>
      </c>
      <c r="P110" s="636">
        <f t="shared" si="55"/>
        <v>20.429686609686634</v>
      </c>
      <c r="Q110" s="647">
        <v>44300</v>
      </c>
      <c r="R110" s="648">
        <v>4.8</v>
      </c>
      <c r="S110" s="642">
        <f t="shared" si="56"/>
        <v>15.2</v>
      </c>
      <c r="T110" s="642">
        <f t="shared" si="57"/>
        <v>17.2</v>
      </c>
      <c r="U110" s="643">
        <f t="shared" si="58"/>
        <v>18.629686609686633</v>
      </c>
      <c r="V110" s="684">
        <v>44330</v>
      </c>
      <c r="W110" s="685">
        <v>13.6</v>
      </c>
      <c r="X110" s="636">
        <f t="shared" si="59"/>
        <v>0</v>
      </c>
      <c r="Y110" s="636">
        <f t="shared" si="60"/>
        <v>0</v>
      </c>
      <c r="Z110" s="637">
        <f t="shared" si="61"/>
        <v>0</v>
      </c>
      <c r="AA110" s="686">
        <v>44361</v>
      </c>
      <c r="AB110" s="687">
        <v>18.5</v>
      </c>
      <c r="AC110" s="642">
        <f t="shared" si="62"/>
        <v>0</v>
      </c>
      <c r="AD110" s="642">
        <f t="shared" si="63"/>
        <v>0</v>
      </c>
      <c r="AE110" s="644">
        <f t="shared" si="64"/>
        <v>0</v>
      </c>
    </row>
    <row r="111" spans="2:31" x14ac:dyDescent="0.2">
      <c r="B111" s="645">
        <v>44211</v>
      </c>
      <c r="C111" s="646">
        <v>-2.1</v>
      </c>
      <c r="D111" s="636">
        <f t="shared" si="47"/>
        <v>22.1</v>
      </c>
      <c r="E111" s="636">
        <f t="shared" si="48"/>
        <v>24.1</v>
      </c>
      <c r="F111" s="637">
        <f t="shared" si="49"/>
        <v>25.529686609686635</v>
      </c>
      <c r="G111" s="647">
        <v>44242</v>
      </c>
      <c r="H111" s="648">
        <v>-0.3</v>
      </c>
      <c r="I111" s="640">
        <f t="shared" si="50"/>
        <v>20.3</v>
      </c>
      <c r="J111" s="640">
        <f t="shared" si="51"/>
        <v>22.3</v>
      </c>
      <c r="K111" s="641">
        <f t="shared" si="52"/>
        <v>23.729686609686635</v>
      </c>
      <c r="L111" s="645">
        <v>44270</v>
      </c>
      <c r="M111" s="646">
        <v>5</v>
      </c>
      <c r="N111" s="636">
        <f t="shared" si="53"/>
        <v>15</v>
      </c>
      <c r="O111" s="636">
        <f t="shared" si="54"/>
        <v>17</v>
      </c>
      <c r="P111" s="636">
        <f t="shared" si="55"/>
        <v>18.429686609686634</v>
      </c>
      <c r="Q111" s="649">
        <v>44301</v>
      </c>
      <c r="R111" s="650">
        <v>6.1</v>
      </c>
      <c r="S111" s="651">
        <f t="shared" si="56"/>
        <v>13.9</v>
      </c>
      <c r="T111" s="651">
        <f t="shared" si="57"/>
        <v>15.9</v>
      </c>
      <c r="U111" s="652">
        <f t="shared" si="58"/>
        <v>17.329686609686632</v>
      </c>
      <c r="V111" s="684">
        <v>44331</v>
      </c>
      <c r="W111" s="685">
        <v>14.1</v>
      </c>
      <c r="X111" s="636">
        <f t="shared" si="59"/>
        <v>0</v>
      </c>
      <c r="Y111" s="636">
        <f t="shared" si="60"/>
        <v>0</v>
      </c>
      <c r="Z111" s="637">
        <f t="shared" si="61"/>
        <v>0</v>
      </c>
      <c r="AA111" s="686">
        <v>44362</v>
      </c>
      <c r="AB111" s="687">
        <v>21.1</v>
      </c>
      <c r="AC111" s="642">
        <f t="shared" si="62"/>
        <v>0</v>
      </c>
      <c r="AD111" s="642">
        <f t="shared" si="63"/>
        <v>0</v>
      </c>
      <c r="AE111" s="644">
        <f t="shared" si="64"/>
        <v>0</v>
      </c>
    </row>
    <row r="112" spans="2:31" x14ac:dyDescent="0.2">
      <c r="B112" s="645">
        <v>44212</v>
      </c>
      <c r="C112" s="646">
        <v>-4</v>
      </c>
      <c r="D112" s="636">
        <f t="shared" si="47"/>
        <v>24</v>
      </c>
      <c r="E112" s="636">
        <f t="shared" si="48"/>
        <v>26</v>
      </c>
      <c r="F112" s="637">
        <f t="shared" si="49"/>
        <v>27.429686609686634</v>
      </c>
      <c r="G112" s="647">
        <v>44243</v>
      </c>
      <c r="H112" s="648">
        <v>4.4000000000000004</v>
      </c>
      <c r="I112" s="640">
        <f t="shared" si="50"/>
        <v>15.6</v>
      </c>
      <c r="J112" s="640">
        <f t="shared" si="51"/>
        <v>17.600000000000001</v>
      </c>
      <c r="K112" s="641">
        <f t="shared" si="52"/>
        <v>19.029686609686635</v>
      </c>
      <c r="L112" s="645">
        <v>44271</v>
      </c>
      <c r="M112" s="646">
        <v>6.2</v>
      </c>
      <c r="N112" s="636">
        <f t="shared" si="53"/>
        <v>13.8</v>
      </c>
      <c r="O112" s="636">
        <f t="shared" si="54"/>
        <v>15.8</v>
      </c>
      <c r="P112" s="636">
        <f t="shared" si="55"/>
        <v>17.229686609686635</v>
      </c>
      <c r="Q112" s="647">
        <v>44302</v>
      </c>
      <c r="R112" s="648">
        <v>7.3</v>
      </c>
      <c r="S112" s="642">
        <f t="shared" si="56"/>
        <v>12.7</v>
      </c>
      <c r="T112" s="642">
        <f t="shared" si="57"/>
        <v>14.7</v>
      </c>
      <c r="U112" s="643">
        <f t="shared" si="58"/>
        <v>16.129686609686633</v>
      </c>
      <c r="V112" s="684">
        <v>44332</v>
      </c>
      <c r="W112" s="685">
        <v>14.5</v>
      </c>
      <c r="X112" s="636">
        <f t="shared" si="59"/>
        <v>0</v>
      </c>
      <c r="Y112" s="636">
        <f t="shared" si="60"/>
        <v>0</v>
      </c>
      <c r="Z112" s="637">
        <f t="shared" si="61"/>
        <v>0</v>
      </c>
      <c r="AA112" s="686">
        <v>44363</v>
      </c>
      <c r="AB112" s="687">
        <v>24.2</v>
      </c>
      <c r="AC112" s="642">
        <f t="shared" si="62"/>
        <v>0</v>
      </c>
      <c r="AD112" s="642">
        <f t="shared" si="63"/>
        <v>0</v>
      </c>
      <c r="AE112" s="644">
        <f t="shared" si="64"/>
        <v>0</v>
      </c>
    </row>
    <row r="113" spans="2:31" x14ac:dyDescent="0.2">
      <c r="B113" s="645">
        <v>44213</v>
      </c>
      <c r="C113" s="646">
        <v>-3.8</v>
      </c>
      <c r="D113" s="636">
        <f t="shared" si="47"/>
        <v>23.8</v>
      </c>
      <c r="E113" s="636">
        <f t="shared" si="48"/>
        <v>25.8</v>
      </c>
      <c r="F113" s="637">
        <f t="shared" si="49"/>
        <v>27.229686609686635</v>
      </c>
      <c r="G113" s="647">
        <v>44244</v>
      </c>
      <c r="H113" s="648">
        <v>5.4</v>
      </c>
      <c r="I113" s="640">
        <f t="shared" si="50"/>
        <v>14.6</v>
      </c>
      <c r="J113" s="640">
        <f t="shared" si="51"/>
        <v>16.600000000000001</v>
      </c>
      <c r="K113" s="641">
        <f t="shared" si="52"/>
        <v>18.029686609686635</v>
      </c>
      <c r="L113" s="645">
        <v>44272</v>
      </c>
      <c r="M113" s="646">
        <v>4.3</v>
      </c>
      <c r="N113" s="636">
        <f t="shared" si="53"/>
        <v>15.7</v>
      </c>
      <c r="O113" s="636">
        <f t="shared" si="54"/>
        <v>17.7</v>
      </c>
      <c r="P113" s="636">
        <f t="shared" si="55"/>
        <v>19.129686609686633</v>
      </c>
      <c r="Q113" s="647">
        <v>44303</v>
      </c>
      <c r="R113" s="648">
        <v>8</v>
      </c>
      <c r="S113" s="642">
        <f t="shared" si="56"/>
        <v>12</v>
      </c>
      <c r="T113" s="642">
        <f t="shared" si="57"/>
        <v>14</v>
      </c>
      <c r="U113" s="643">
        <f t="shared" si="58"/>
        <v>15.429686609686634</v>
      </c>
      <c r="V113" s="684">
        <v>44333</v>
      </c>
      <c r="W113" s="685">
        <v>11.3</v>
      </c>
      <c r="X113" s="636">
        <f t="shared" si="59"/>
        <v>8.6999999999999993</v>
      </c>
      <c r="Y113" s="636">
        <f t="shared" si="60"/>
        <v>10.7</v>
      </c>
      <c r="Z113" s="637">
        <f t="shared" si="61"/>
        <v>12.129686609686633</v>
      </c>
      <c r="AA113" s="686">
        <v>44364</v>
      </c>
      <c r="AB113" s="687">
        <v>24.8</v>
      </c>
      <c r="AC113" s="642">
        <f t="shared" si="62"/>
        <v>0</v>
      </c>
      <c r="AD113" s="642">
        <f t="shared" si="63"/>
        <v>0</v>
      </c>
      <c r="AE113" s="644">
        <f t="shared" si="64"/>
        <v>0</v>
      </c>
    </row>
    <row r="114" spans="2:31" x14ac:dyDescent="0.2">
      <c r="B114" s="645">
        <v>44214</v>
      </c>
      <c r="C114" s="646">
        <v>-1.1000000000000001</v>
      </c>
      <c r="D114" s="636">
        <f t="shared" si="47"/>
        <v>21.1</v>
      </c>
      <c r="E114" s="636">
        <f t="shared" si="48"/>
        <v>23.1</v>
      </c>
      <c r="F114" s="637">
        <f t="shared" si="49"/>
        <v>24.529686609686635</v>
      </c>
      <c r="G114" s="647">
        <v>44245</v>
      </c>
      <c r="H114" s="648">
        <v>5.6</v>
      </c>
      <c r="I114" s="640">
        <f t="shared" si="50"/>
        <v>14.4</v>
      </c>
      <c r="J114" s="640">
        <f t="shared" si="51"/>
        <v>16.399999999999999</v>
      </c>
      <c r="K114" s="641">
        <f t="shared" si="52"/>
        <v>17.829686609686632</v>
      </c>
      <c r="L114" s="645">
        <v>44273</v>
      </c>
      <c r="M114" s="646">
        <v>2.9</v>
      </c>
      <c r="N114" s="636">
        <f t="shared" si="53"/>
        <v>17.100000000000001</v>
      </c>
      <c r="O114" s="636">
        <f t="shared" si="54"/>
        <v>19.100000000000001</v>
      </c>
      <c r="P114" s="636">
        <f t="shared" si="55"/>
        <v>20.529686609686635</v>
      </c>
      <c r="Q114" s="647">
        <v>44304</v>
      </c>
      <c r="R114" s="648">
        <v>7.4</v>
      </c>
      <c r="S114" s="642">
        <f t="shared" si="56"/>
        <v>12.6</v>
      </c>
      <c r="T114" s="642">
        <f t="shared" si="57"/>
        <v>14.6</v>
      </c>
      <c r="U114" s="643">
        <f t="shared" si="58"/>
        <v>16.029686609686635</v>
      </c>
      <c r="V114" s="684">
        <v>44334</v>
      </c>
      <c r="W114" s="685">
        <v>15.3</v>
      </c>
      <c r="X114" s="636">
        <f t="shared" si="59"/>
        <v>0</v>
      </c>
      <c r="Y114" s="636">
        <f t="shared" si="60"/>
        <v>0</v>
      </c>
      <c r="Z114" s="637">
        <f t="shared" si="61"/>
        <v>0</v>
      </c>
      <c r="AA114" s="686">
        <v>44365</v>
      </c>
      <c r="AB114" s="687">
        <v>25</v>
      </c>
      <c r="AC114" s="642">
        <f t="shared" si="62"/>
        <v>0</v>
      </c>
      <c r="AD114" s="642">
        <f t="shared" si="63"/>
        <v>0</v>
      </c>
      <c r="AE114" s="644">
        <f t="shared" si="64"/>
        <v>0</v>
      </c>
    </row>
    <row r="115" spans="2:31" x14ac:dyDescent="0.2">
      <c r="B115" s="645">
        <v>44215</v>
      </c>
      <c r="C115" s="646">
        <v>0.5</v>
      </c>
      <c r="D115" s="636">
        <f t="shared" si="47"/>
        <v>19.5</v>
      </c>
      <c r="E115" s="636">
        <f t="shared" si="48"/>
        <v>21.5</v>
      </c>
      <c r="F115" s="637">
        <f t="shared" si="49"/>
        <v>22.929686609686634</v>
      </c>
      <c r="G115" s="647">
        <v>44246</v>
      </c>
      <c r="H115" s="648">
        <v>8.3000000000000007</v>
      </c>
      <c r="I115" s="640">
        <f t="shared" si="50"/>
        <v>11.7</v>
      </c>
      <c r="J115" s="640">
        <f t="shared" si="51"/>
        <v>13.7</v>
      </c>
      <c r="K115" s="641">
        <f t="shared" si="52"/>
        <v>15.129686609686633</v>
      </c>
      <c r="L115" s="645">
        <v>44274</v>
      </c>
      <c r="M115" s="646">
        <v>2.6</v>
      </c>
      <c r="N115" s="636">
        <f t="shared" si="53"/>
        <v>17.399999999999999</v>
      </c>
      <c r="O115" s="636">
        <f t="shared" si="54"/>
        <v>19.399999999999999</v>
      </c>
      <c r="P115" s="636">
        <f t="shared" si="55"/>
        <v>20.829686609686632</v>
      </c>
      <c r="Q115" s="647">
        <v>44305</v>
      </c>
      <c r="R115" s="648">
        <v>7.3</v>
      </c>
      <c r="S115" s="642">
        <f t="shared" si="56"/>
        <v>12.7</v>
      </c>
      <c r="T115" s="642">
        <f t="shared" si="57"/>
        <v>14.7</v>
      </c>
      <c r="U115" s="643">
        <f t="shared" si="58"/>
        <v>16.129686609686633</v>
      </c>
      <c r="V115" s="684">
        <v>44335</v>
      </c>
      <c r="W115" s="685">
        <v>9.3000000000000007</v>
      </c>
      <c r="X115" s="636">
        <f t="shared" si="59"/>
        <v>10.7</v>
      </c>
      <c r="Y115" s="636">
        <f t="shared" si="60"/>
        <v>12.7</v>
      </c>
      <c r="Z115" s="637">
        <f t="shared" si="61"/>
        <v>14.129686609686633</v>
      </c>
      <c r="AA115" s="686">
        <v>44366</v>
      </c>
      <c r="AB115" s="687">
        <v>26.2</v>
      </c>
      <c r="AC115" s="642">
        <f t="shared" si="62"/>
        <v>0</v>
      </c>
      <c r="AD115" s="642">
        <f t="shared" si="63"/>
        <v>0</v>
      </c>
      <c r="AE115" s="644">
        <f t="shared" si="64"/>
        <v>0</v>
      </c>
    </row>
    <row r="116" spans="2:31" x14ac:dyDescent="0.2">
      <c r="B116" s="645">
        <v>44216</v>
      </c>
      <c r="C116" s="646">
        <v>5</v>
      </c>
      <c r="D116" s="636">
        <f t="shared" si="47"/>
        <v>15</v>
      </c>
      <c r="E116" s="636">
        <f t="shared" si="48"/>
        <v>17</v>
      </c>
      <c r="F116" s="637">
        <f t="shared" si="49"/>
        <v>18.429686609686634</v>
      </c>
      <c r="G116" s="647">
        <v>44247</v>
      </c>
      <c r="H116" s="648">
        <v>8.9</v>
      </c>
      <c r="I116" s="640">
        <f t="shared" si="50"/>
        <v>11.1</v>
      </c>
      <c r="J116" s="640">
        <f t="shared" si="51"/>
        <v>13.1</v>
      </c>
      <c r="K116" s="641">
        <f t="shared" si="52"/>
        <v>14.529686609686634</v>
      </c>
      <c r="L116" s="645">
        <v>44275</v>
      </c>
      <c r="M116" s="646">
        <v>1.3</v>
      </c>
      <c r="N116" s="636">
        <f t="shared" si="53"/>
        <v>18.7</v>
      </c>
      <c r="O116" s="636">
        <f t="shared" si="54"/>
        <v>20.7</v>
      </c>
      <c r="P116" s="636">
        <f t="shared" si="55"/>
        <v>22.129686609686633</v>
      </c>
      <c r="Q116" s="647">
        <v>44306</v>
      </c>
      <c r="R116" s="648">
        <v>9.6</v>
      </c>
      <c r="S116" s="642">
        <f t="shared" si="56"/>
        <v>10.4</v>
      </c>
      <c r="T116" s="642">
        <f t="shared" si="57"/>
        <v>12.4</v>
      </c>
      <c r="U116" s="643">
        <f t="shared" si="58"/>
        <v>13.829686609686634</v>
      </c>
      <c r="V116" s="684">
        <v>44336</v>
      </c>
      <c r="W116" s="685">
        <v>14.3</v>
      </c>
      <c r="X116" s="636">
        <f t="shared" si="59"/>
        <v>0</v>
      </c>
      <c r="Y116" s="636">
        <f t="shared" si="60"/>
        <v>0</v>
      </c>
      <c r="Z116" s="637">
        <f t="shared" si="61"/>
        <v>0</v>
      </c>
      <c r="AA116" s="686">
        <v>44367</v>
      </c>
      <c r="AB116" s="687">
        <v>26.9</v>
      </c>
      <c r="AC116" s="642">
        <f t="shared" si="62"/>
        <v>0</v>
      </c>
      <c r="AD116" s="642">
        <f t="shared" si="63"/>
        <v>0</v>
      </c>
      <c r="AE116" s="644">
        <f t="shared" si="64"/>
        <v>0</v>
      </c>
    </row>
    <row r="117" spans="2:31" x14ac:dyDescent="0.2">
      <c r="B117" s="645">
        <v>44217</v>
      </c>
      <c r="C117" s="646">
        <v>7.5</v>
      </c>
      <c r="D117" s="636">
        <f t="shared" si="47"/>
        <v>12.5</v>
      </c>
      <c r="E117" s="636">
        <f t="shared" si="48"/>
        <v>14.5</v>
      </c>
      <c r="F117" s="637">
        <f t="shared" si="49"/>
        <v>15.929686609686634</v>
      </c>
      <c r="G117" s="647">
        <v>44248</v>
      </c>
      <c r="H117" s="648">
        <v>9.6</v>
      </c>
      <c r="I117" s="640">
        <f t="shared" si="50"/>
        <v>10.4</v>
      </c>
      <c r="J117" s="640">
        <f t="shared" si="51"/>
        <v>12.4</v>
      </c>
      <c r="K117" s="641">
        <f t="shared" si="52"/>
        <v>13.829686609686634</v>
      </c>
      <c r="L117" s="645">
        <v>44276</v>
      </c>
      <c r="M117" s="646">
        <v>2.9</v>
      </c>
      <c r="N117" s="636">
        <f t="shared" si="53"/>
        <v>17.100000000000001</v>
      </c>
      <c r="O117" s="636">
        <f t="shared" si="54"/>
        <v>19.100000000000001</v>
      </c>
      <c r="P117" s="636">
        <f t="shared" si="55"/>
        <v>20.529686609686635</v>
      </c>
      <c r="Q117" s="647">
        <v>44307</v>
      </c>
      <c r="R117" s="648">
        <v>10.9</v>
      </c>
      <c r="S117" s="642">
        <f t="shared" si="56"/>
        <v>9.1</v>
      </c>
      <c r="T117" s="642">
        <f t="shared" si="57"/>
        <v>11.1</v>
      </c>
      <c r="U117" s="643">
        <f t="shared" si="58"/>
        <v>12.529686609686634</v>
      </c>
      <c r="V117" s="684">
        <v>44337</v>
      </c>
      <c r="W117" s="685">
        <v>14.9</v>
      </c>
      <c r="X117" s="636">
        <f t="shared" si="59"/>
        <v>0</v>
      </c>
      <c r="Y117" s="636">
        <f t="shared" si="60"/>
        <v>0</v>
      </c>
      <c r="Z117" s="637">
        <f t="shared" si="61"/>
        <v>0</v>
      </c>
      <c r="AA117" s="686">
        <v>44368</v>
      </c>
      <c r="AB117" s="687">
        <v>26.7</v>
      </c>
      <c r="AC117" s="642">
        <f t="shared" si="62"/>
        <v>0</v>
      </c>
      <c r="AD117" s="642">
        <f t="shared" si="63"/>
        <v>0</v>
      </c>
      <c r="AE117" s="644">
        <f t="shared" si="64"/>
        <v>0</v>
      </c>
    </row>
    <row r="118" spans="2:31" x14ac:dyDescent="0.2">
      <c r="B118" s="645">
        <v>44218</v>
      </c>
      <c r="C118" s="646">
        <v>9.1</v>
      </c>
      <c r="D118" s="636">
        <f t="shared" si="47"/>
        <v>10.9</v>
      </c>
      <c r="E118" s="636">
        <f t="shared" si="48"/>
        <v>12.9</v>
      </c>
      <c r="F118" s="637">
        <f t="shared" si="49"/>
        <v>14.329686609686634</v>
      </c>
      <c r="G118" s="647">
        <v>44249</v>
      </c>
      <c r="H118" s="648">
        <v>10.6</v>
      </c>
      <c r="I118" s="640">
        <f t="shared" si="50"/>
        <v>9.4</v>
      </c>
      <c r="J118" s="640">
        <f t="shared" si="51"/>
        <v>11.4</v>
      </c>
      <c r="K118" s="641">
        <f t="shared" si="52"/>
        <v>12.829686609686634</v>
      </c>
      <c r="L118" s="645">
        <v>44277</v>
      </c>
      <c r="M118" s="646">
        <v>4.5</v>
      </c>
      <c r="N118" s="636">
        <f t="shared" si="53"/>
        <v>15.5</v>
      </c>
      <c r="O118" s="636">
        <f t="shared" si="54"/>
        <v>17.5</v>
      </c>
      <c r="P118" s="636">
        <f t="shared" si="55"/>
        <v>18.929686609686634</v>
      </c>
      <c r="Q118" s="647">
        <v>44308</v>
      </c>
      <c r="R118" s="648">
        <v>12.9</v>
      </c>
      <c r="S118" s="642">
        <f t="shared" si="56"/>
        <v>0</v>
      </c>
      <c r="T118" s="642">
        <f t="shared" si="57"/>
        <v>0</v>
      </c>
      <c r="U118" s="643">
        <f t="shared" si="58"/>
        <v>0</v>
      </c>
      <c r="V118" s="684">
        <v>44338</v>
      </c>
      <c r="W118" s="685">
        <v>14.9</v>
      </c>
      <c r="X118" s="636">
        <f t="shared" si="59"/>
        <v>0</v>
      </c>
      <c r="Y118" s="636">
        <f t="shared" si="60"/>
        <v>0</v>
      </c>
      <c r="Z118" s="637">
        <f t="shared" si="61"/>
        <v>0</v>
      </c>
      <c r="AA118" s="686">
        <v>44369</v>
      </c>
      <c r="AB118" s="687">
        <v>26.3</v>
      </c>
      <c r="AC118" s="642">
        <f t="shared" si="62"/>
        <v>0</v>
      </c>
      <c r="AD118" s="642">
        <f t="shared" si="63"/>
        <v>0</v>
      </c>
      <c r="AE118" s="644">
        <f t="shared" si="64"/>
        <v>0</v>
      </c>
    </row>
    <row r="119" spans="2:31" x14ac:dyDescent="0.2">
      <c r="B119" s="645">
        <v>44219</v>
      </c>
      <c r="C119" s="646">
        <v>5.9</v>
      </c>
      <c r="D119" s="636">
        <f t="shared" si="47"/>
        <v>14.1</v>
      </c>
      <c r="E119" s="636">
        <f t="shared" si="48"/>
        <v>16.100000000000001</v>
      </c>
      <c r="F119" s="637">
        <f t="shared" si="49"/>
        <v>17.529686609686635</v>
      </c>
      <c r="G119" s="647">
        <v>44250</v>
      </c>
      <c r="H119" s="648">
        <v>8.8000000000000007</v>
      </c>
      <c r="I119" s="640">
        <f t="shared" si="50"/>
        <v>11.2</v>
      </c>
      <c r="J119" s="640">
        <f t="shared" si="51"/>
        <v>13.2</v>
      </c>
      <c r="K119" s="641">
        <f t="shared" si="52"/>
        <v>14.629686609686633</v>
      </c>
      <c r="L119" s="645">
        <v>44278</v>
      </c>
      <c r="M119" s="646">
        <v>7.4</v>
      </c>
      <c r="N119" s="636">
        <f t="shared" si="53"/>
        <v>12.6</v>
      </c>
      <c r="O119" s="636">
        <f t="shared" si="54"/>
        <v>14.6</v>
      </c>
      <c r="P119" s="636">
        <f t="shared" si="55"/>
        <v>16.029686609686635</v>
      </c>
      <c r="Q119" s="647">
        <v>44309</v>
      </c>
      <c r="R119" s="648">
        <v>12.7</v>
      </c>
      <c r="S119" s="642">
        <f t="shared" si="56"/>
        <v>0</v>
      </c>
      <c r="T119" s="642">
        <f t="shared" si="57"/>
        <v>0</v>
      </c>
      <c r="U119" s="643">
        <f t="shared" si="58"/>
        <v>0</v>
      </c>
      <c r="V119" s="684">
        <v>44339</v>
      </c>
      <c r="W119" s="685">
        <v>11.6</v>
      </c>
      <c r="X119" s="636">
        <f t="shared" si="59"/>
        <v>8.4</v>
      </c>
      <c r="Y119" s="636">
        <f t="shared" si="60"/>
        <v>10.4</v>
      </c>
      <c r="Z119" s="637">
        <f t="shared" si="61"/>
        <v>11.829686609686634</v>
      </c>
      <c r="AA119" s="686">
        <v>44370</v>
      </c>
      <c r="AB119" s="687">
        <v>28</v>
      </c>
      <c r="AC119" s="642">
        <f t="shared" si="62"/>
        <v>0</v>
      </c>
      <c r="AD119" s="642">
        <f t="shared" si="63"/>
        <v>0</v>
      </c>
      <c r="AE119" s="644">
        <f t="shared" si="64"/>
        <v>0</v>
      </c>
    </row>
    <row r="120" spans="2:31" x14ac:dyDescent="0.2">
      <c r="B120" s="645">
        <v>44220</v>
      </c>
      <c r="C120" s="646">
        <v>2.7</v>
      </c>
      <c r="D120" s="636">
        <f t="shared" si="47"/>
        <v>17.3</v>
      </c>
      <c r="E120" s="636">
        <f t="shared" si="48"/>
        <v>19.3</v>
      </c>
      <c r="F120" s="637">
        <f t="shared" si="49"/>
        <v>20.729686609686635</v>
      </c>
      <c r="G120" s="647">
        <v>44251</v>
      </c>
      <c r="H120" s="648">
        <v>9.6999999999999993</v>
      </c>
      <c r="I120" s="640">
        <f t="shared" si="50"/>
        <v>10.3</v>
      </c>
      <c r="J120" s="640">
        <f t="shared" si="51"/>
        <v>12.3</v>
      </c>
      <c r="K120" s="641">
        <f t="shared" si="52"/>
        <v>13.729686609686635</v>
      </c>
      <c r="L120" s="645">
        <v>44279</v>
      </c>
      <c r="M120" s="646">
        <v>8</v>
      </c>
      <c r="N120" s="636">
        <f t="shared" si="53"/>
        <v>12</v>
      </c>
      <c r="O120" s="636">
        <f t="shared" si="54"/>
        <v>14</v>
      </c>
      <c r="P120" s="636">
        <f t="shared" si="55"/>
        <v>15.429686609686634</v>
      </c>
      <c r="Q120" s="647">
        <v>44310</v>
      </c>
      <c r="R120" s="648">
        <v>13.3</v>
      </c>
      <c r="S120" s="642">
        <f t="shared" si="56"/>
        <v>0</v>
      </c>
      <c r="T120" s="642">
        <f t="shared" si="57"/>
        <v>0</v>
      </c>
      <c r="U120" s="643">
        <f t="shared" si="58"/>
        <v>0</v>
      </c>
      <c r="V120" s="684">
        <v>44340</v>
      </c>
      <c r="W120" s="685">
        <v>10.4</v>
      </c>
      <c r="X120" s="636">
        <f t="shared" si="59"/>
        <v>9.6</v>
      </c>
      <c r="Y120" s="636">
        <f t="shared" si="60"/>
        <v>11.6</v>
      </c>
      <c r="Z120" s="637">
        <f t="shared" si="61"/>
        <v>13.029686609686634</v>
      </c>
      <c r="AA120" s="686">
        <v>44371</v>
      </c>
      <c r="AB120" s="687">
        <v>27.7</v>
      </c>
      <c r="AC120" s="642">
        <f t="shared" si="62"/>
        <v>0</v>
      </c>
      <c r="AD120" s="642">
        <f t="shared" si="63"/>
        <v>0</v>
      </c>
      <c r="AE120" s="644">
        <f t="shared" si="64"/>
        <v>0</v>
      </c>
    </row>
    <row r="121" spans="2:31" x14ac:dyDescent="0.2">
      <c r="B121" s="645">
        <v>44221</v>
      </c>
      <c r="C121" s="646">
        <v>0.7</v>
      </c>
      <c r="D121" s="636">
        <f t="shared" si="47"/>
        <v>19.3</v>
      </c>
      <c r="E121" s="636">
        <f t="shared" si="48"/>
        <v>21.3</v>
      </c>
      <c r="F121" s="637">
        <f t="shared" si="49"/>
        <v>22.729686609686635</v>
      </c>
      <c r="G121" s="647">
        <v>44252</v>
      </c>
      <c r="H121" s="648">
        <v>9.6</v>
      </c>
      <c r="I121" s="640">
        <f t="shared" si="50"/>
        <v>10.4</v>
      </c>
      <c r="J121" s="640">
        <f t="shared" si="51"/>
        <v>12.4</v>
      </c>
      <c r="K121" s="641">
        <f t="shared" si="52"/>
        <v>13.829686609686634</v>
      </c>
      <c r="L121" s="645">
        <v>44280</v>
      </c>
      <c r="M121" s="646">
        <v>9.8000000000000007</v>
      </c>
      <c r="N121" s="636">
        <f t="shared" si="53"/>
        <v>10.199999999999999</v>
      </c>
      <c r="O121" s="636">
        <f t="shared" si="54"/>
        <v>12.2</v>
      </c>
      <c r="P121" s="636">
        <f t="shared" si="55"/>
        <v>13.629686609686633</v>
      </c>
      <c r="Q121" s="647">
        <v>44311</v>
      </c>
      <c r="R121" s="648">
        <v>15.4</v>
      </c>
      <c r="S121" s="642">
        <f t="shared" si="56"/>
        <v>0</v>
      </c>
      <c r="T121" s="642">
        <f t="shared" si="57"/>
        <v>0</v>
      </c>
      <c r="U121" s="643">
        <f t="shared" si="58"/>
        <v>0</v>
      </c>
      <c r="V121" s="684">
        <v>44341</v>
      </c>
      <c r="W121" s="685">
        <v>11.6</v>
      </c>
      <c r="X121" s="636">
        <f t="shared" si="59"/>
        <v>8.4</v>
      </c>
      <c r="Y121" s="636">
        <f t="shared" si="60"/>
        <v>10.4</v>
      </c>
      <c r="Z121" s="637">
        <f t="shared" si="61"/>
        <v>11.829686609686634</v>
      </c>
      <c r="AA121" s="686">
        <v>44372</v>
      </c>
      <c r="AB121" s="687">
        <v>24.9</v>
      </c>
      <c r="AC121" s="642">
        <f t="shared" si="62"/>
        <v>0</v>
      </c>
      <c r="AD121" s="642">
        <f t="shared" si="63"/>
        <v>0</v>
      </c>
      <c r="AE121" s="644">
        <f t="shared" si="64"/>
        <v>0</v>
      </c>
    </row>
    <row r="122" spans="2:31" x14ac:dyDescent="0.2">
      <c r="B122" s="645">
        <v>44222</v>
      </c>
      <c r="C122" s="646">
        <v>-0.9</v>
      </c>
      <c r="D122" s="636">
        <f t="shared" si="47"/>
        <v>20.9</v>
      </c>
      <c r="E122" s="636">
        <f t="shared" si="48"/>
        <v>22.9</v>
      </c>
      <c r="F122" s="637">
        <f t="shared" si="49"/>
        <v>24.329686609686632</v>
      </c>
      <c r="G122" s="647">
        <v>44253</v>
      </c>
      <c r="H122" s="648">
        <v>10</v>
      </c>
      <c r="I122" s="640">
        <f t="shared" si="50"/>
        <v>10</v>
      </c>
      <c r="J122" s="640">
        <f t="shared" si="51"/>
        <v>12</v>
      </c>
      <c r="K122" s="641">
        <f t="shared" si="52"/>
        <v>13.429686609686634</v>
      </c>
      <c r="L122" s="645">
        <v>44281</v>
      </c>
      <c r="M122" s="646">
        <v>11.6</v>
      </c>
      <c r="N122" s="636">
        <f t="shared" si="53"/>
        <v>8.4</v>
      </c>
      <c r="O122" s="636">
        <f t="shared" si="54"/>
        <v>10.4</v>
      </c>
      <c r="P122" s="636">
        <f t="shared" si="55"/>
        <v>11.829686609686634</v>
      </c>
      <c r="Q122" s="647">
        <v>44312</v>
      </c>
      <c r="R122" s="648">
        <v>8.3000000000000007</v>
      </c>
      <c r="S122" s="642">
        <f t="shared" si="56"/>
        <v>11.7</v>
      </c>
      <c r="T122" s="642">
        <f t="shared" si="57"/>
        <v>13.7</v>
      </c>
      <c r="U122" s="643">
        <f t="shared" si="58"/>
        <v>15.129686609686633</v>
      </c>
      <c r="V122" s="684">
        <v>44342</v>
      </c>
      <c r="W122" s="685">
        <v>14.9</v>
      </c>
      <c r="X122" s="636">
        <f t="shared" si="59"/>
        <v>0</v>
      </c>
      <c r="Y122" s="636">
        <f t="shared" si="60"/>
        <v>0</v>
      </c>
      <c r="Z122" s="637">
        <f t="shared" si="61"/>
        <v>0</v>
      </c>
      <c r="AA122" s="686">
        <v>44373</v>
      </c>
      <c r="AB122" s="687">
        <v>24.9</v>
      </c>
      <c r="AC122" s="642">
        <f t="shared" si="62"/>
        <v>0</v>
      </c>
      <c r="AD122" s="642">
        <f t="shared" si="63"/>
        <v>0</v>
      </c>
      <c r="AE122" s="644">
        <f t="shared" si="64"/>
        <v>0</v>
      </c>
    </row>
    <row r="123" spans="2:31" x14ac:dyDescent="0.2">
      <c r="B123" s="645">
        <v>44223</v>
      </c>
      <c r="C123" s="646">
        <v>-0.7</v>
      </c>
      <c r="D123" s="636">
        <f t="shared" si="47"/>
        <v>20.7</v>
      </c>
      <c r="E123" s="636">
        <f t="shared" si="48"/>
        <v>22.7</v>
      </c>
      <c r="F123" s="637">
        <f t="shared" si="49"/>
        <v>24.129686609686633</v>
      </c>
      <c r="G123" s="647">
        <v>44254</v>
      </c>
      <c r="H123" s="648">
        <v>7</v>
      </c>
      <c r="I123" s="640">
        <f t="shared" si="50"/>
        <v>13</v>
      </c>
      <c r="J123" s="640">
        <f t="shared" si="51"/>
        <v>15</v>
      </c>
      <c r="K123" s="641">
        <f t="shared" si="52"/>
        <v>16.429686609686634</v>
      </c>
      <c r="L123" s="645">
        <v>44282</v>
      </c>
      <c r="M123" s="646">
        <v>9.5</v>
      </c>
      <c r="N123" s="636">
        <f t="shared" si="53"/>
        <v>10.5</v>
      </c>
      <c r="O123" s="636">
        <f t="shared" si="54"/>
        <v>12.5</v>
      </c>
      <c r="P123" s="636">
        <f t="shared" si="55"/>
        <v>13.929686609686634</v>
      </c>
      <c r="Q123" s="647">
        <v>44313</v>
      </c>
      <c r="R123" s="648">
        <v>7.1</v>
      </c>
      <c r="S123" s="642">
        <f t="shared" si="56"/>
        <v>12.9</v>
      </c>
      <c r="T123" s="642">
        <f t="shared" si="57"/>
        <v>14.9</v>
      </c>
      <c r="U123" s="643">
        <f t="shared" si="58"/>
        <v>16.329686609686632</v>
      </c>
      <c r="V123" s="684">
        <v>44343</v>
      </c>
      <c r="W123" s="685">
        <v>15.4</v>
      </c>
      <c r="X123" s="636">
        <f t="shared" si="59"/>
        <v>0</v>
      </c>
      <c r="Y123" s="636">
        <f t="shared" si="60"/>
        <v>0</v>
      </c>
      <c r="Z123" s="637">
        <f t="shared" si="61"/>
        <v>0</v>
      </c>
      <c r="AA123" s="686">
        <v>44374</v>
      </c>
      <c r="AB123" s="687">
        <v>25.8</v>
      </c>
      <c r="AC123" s="642">
        <f t="shared" si="62"/>
        <v>0</v>
      </c>
      <c r="AD123" s="642">
        <f t="shared" si="63"/>
        <v>0</v>
      </c>
      <c r="AE123" s="644">
        <f t="shared" si="64"/>
        <v>0</v>
      </c>
    </row>
    <row r="124" spans="2:31" x14ac:dyDescent="0.2">
      <c r="B124" s="645">
        <v>44224</v>
      </c>
      <c r="C124" s="646">
        <v>1.4</v>
      </c>
      <c r="D124" s="636">
        <f t="shared" si="47"/>
        <v>18.600000000000001</v>
      </c>
      <c r="E124" s="636">
        <f t="shared" si="48"/>
        <v>20.6</v>
      </c>
      <c r="F124" s="637">
        <f t="shared" si="49"/>
        <v>22.029686609686635</v>
      </c>
      <c r="G124" s="647">
        <v>44255</v>
      </c>
      <c r="H124" s="648">
        <v>5.3</v>
      </c>
      <c r="I124" s="640">
        <f t="shared" si="50"/>
        <v>14.7</v>
      </c>
      <c r="J124" s="640">
        <f t="shared" si="51"/>
        <v>16.7</v>
      </c>
      <c r="K124" s="641">
        <f t="shared" si="52"/>
        <v>18.129686609686633</v>
      </c>
      <c r="L124" s="645">
        <v>44283</v>
      </c>
      <c r="M124" s="646">
        <v>7.8</v>
      </c>
      <c r="N124" s="636">
        <f t="shared" si="53"/>
        <v>12.2</v>
      </c>
      <c r="O124" s="636">
        <f t="shared" si="54"/>
        <v>14.2</v>
      </c>
      <c r="P124" s="636">
        <f t="shared" si="55"/>
        <v>15.629686609686633</v>
      </c>
      <c r="Q124" s="647">
        <v>44314</v>
      </c>
      <c r="R124" s="648">
        <v>9.9</v>
      </c>
      <c r="S124" s="642">
        <f t="shared" si="56"/>
        <v>10.1</v>
      </c>
      <c r="T124" s="642">
        <f t="shared" si="57"/>
        <v>12.1</v>
      </c>
      <c r="U124" s="643">
        <f t="shared" si="58"/>
        <v>13.529686609686634</v>
      </c>
      <c r="V124" s="684">
        <v>44344</v>
      </c>
      <c r="W124" s="685">
        <v>16</v>
      </c>
      <c r="X124" s="636">
        <f t="shared" si="59"/>
        <v>0</v>
      </c>
      <c r="Y124" s="636">
        <f t="shared" si="60"/>
        <v>0</v>
      </c>
      <c r="Z124" s="637">
        <f t="shared" si="61"/>
        <v>0</v>
      </c>
      <c r="AA124" s="686">
        <v>44375</v>
      </c>
      <c r="AB124" s="687">
        <v>27.5</v>
      </c>
      <c r="AC124" s="642">
        <f t="shared" si="62"/>
        <v>0</v>
      </c>
      <c r="AD124" s="642">
        <f t="shared" si="63"/>
        <v>0</v>
      </c>
      <c r="AE124" s="644">
        <f t="shared" si="64"/>
        <v>0</v>
      </c>
    </row>
    <row r="125" spans="2:31" x14ac:dyDescent="0.2">
      <c r="B125" s="645">
        <v>44225</v>
      </c>
      <c r="C125" s="646">
        <v>2.9</v>
      </c>
      <c r="D125" s="636">
        <f t="shared" si="47"/>
        <v>17.100000000000001</v>
      </c>
      <c r="E125" s="636">
        <f t="shared" si="48"/>
        <v>19.100000000000001</v>
      </c>
      <c r="F125" s="637">
        <f t="shared" si="49"/>
        <v>20.529686609686635</v>
      </c>
      <c r="G125" s="647"/>
      <c r="H125" s="653"/>
      <c r="I125" s="640">
        <f t="shared" si="50"/>
        <v>0</v>
      </c>
      <c r="J125" s="640">
        <f t="shared" si="51"/>
        <v>0</v>
      </c>
      <c r="K125" s="641">
        <f t="shared" si="52"/>
        <v>0</v>
      </c>
      <c r="L125" s="645">
        <v>44284</v>
      </c>
      <c r="M125" s="646">
        <v>11.8</v>
      </c>
      <c r="N125" s="636">
        <f t="shared" si="53"/>
        <v>8.1999999999999993</v>
      </c>
      <c r="O125" s="636">
        <f t="shared" si="54"/>
        <v>10.199999999999999</v>
      </c>
      <c r="P125" s="636">
        <f t="shared" si="55"/>
        <v>11.629686609686633</v>
      </c>
      <c r="Q125" s="647">
        <v>44315</v>
      </c>
      <c r="R125" s="653">
        <v>13.8</v>
      </c>
      <c r="S125" s="642">
        <f t="shared" si="56"/>
        <v>0</v>
      </c>
      <c r="T125" s="642">
        <f t="shared" si="57"/>
        <v>0</v>
      </c>
      <c r="U125" s="643">
        <f t="shared" si="58"/>
        <v>0</v>
      </c>
      <c r="V125" s="684">
        <v>44345</v>
      </c>
      <c r="W125" s="685">
        <v>13.4</v>
      </c>
      <c r="X125" s="636">
        <f t="shared" si="59"/>
        <v>0</v>
      </c>
      <c r="Y125" s="636">
        <f t="shared" si="60"/>
        <v>0</v>
      </c>
      <c r="Z125" s="637">
        <f t="shared" si="61"/>
        <v>0</v>
      </c>
      <c r="AA125" s="686">
        <v>44376</v>
      </c>
      <c r="AB125" s="688">
        <v>27.1</v>
      </c>
      <c r="AC125" s="642">
        <f t="shared" si="62"/>
        <v>0</v>
      </c>
      <c r="AD125" s="642">
        <f t="shared" si="63"/>
        <v>0</v>
      </c>
      <c r="AE125" s="644">
        <f t="shared" si="64"/>
        <v>0</v>
      </c>
    </row>
    <row r="126" spans="2:31" x14ac:dyDescent="0.2">
      <c r="B126" s="645">
        <v>44226</v>
      </c>
      <c r="C126" s="646">
        <v>3.3</v>
      </c>
      <c r="D126" s="636">
        <f t="shared" si="47"/>
        <v>16.7</v>
      </c>
      <c r="E126" s="636">
        <f t="shared" si="48"/>
        <v>18.7</v>
      </c>
      <c r="F126" s="637">
        <f t="shared" si="49"/>
        <v>20.129686609686633</v>
      </c>
      <c r="G126" s="647"/>
      <c r="H126" s="653"/>
      <c r="I126" s="640">
        <f t="shared" si="50"/>
        <v>0</v>
      </c>
      <c r="J126" s="640">
        <f t="shared" si="51"/>
        <v>0</v>
      </c>
      <c r="K126" s="641">
        <f t="shared" si="52"/>
        <v>0</v>
      </c>
      <c r="L126" s="645">
        <v>44285</v>
      </c>
      <c r="M126" s="646">
        <v>14.4</v>
      </c>
      <c r="N126" s="636">
        <f t="shared" si="53"/>
        <v>0</v>
      </c>
      <c r="O126" s="636">
        <f t="shared" si="54"/>
        <v>0</v>
      </c>
      <c r="P126" s="636">
        <f t="shared" si="55"/>
        <v>0</v>
      </c>
      <c r="Q126" s="647">
        <v>44316</v>
      </c>
      <c r="R126" s="653">
        <v>16.7</v>
      </c>
      <c r="S126" s="642">
        <f t="shared" si="56"/>
        <v>0</v>
      </c>
      <c r="T126" s="642">
        <f t="shared" si="57"/>
        <v>0</v>
      </c>
      <c r="U126" s="643">
        <f t="shared" si="58"/>
        <v>0</v>
      </c>
      <c r="V126" s="684">
        <v>44346</v>
      </c>
      <c r="W126" s="685">
        <v>13.3</v>
      </c>
      <c r="X126" s="636">
        <f t="shared" si="59"/>
        <v>0</v>
      </c>
      <c r="Y126" s="636">
        <f t="shared" si="60"/>
        <v>0</v>
      </c>
      <c r="Z126" s="637">
        <f t="shared" si="61"/>
        <v>0</v>
      </c>
      <c r="AA126" s="686">
        <v>44377</v>
      </c>
      <c r="AB126" s="688">
        <v>25.2</v>
      </c>
      <c r="AC126" s="642">
        <f t="shared" si="62"/>
        <v>0</v>
      </c>
      <c r="AD126" s="642">
        <f t="shared" si="63"/>
        <v>0</v>
      </c>
      <c r="AE126" s="644">
        <f t="shared" si="64"/>
        <v>0</v>
      </c>
    </row>
    <row r="127" spans="2:31" ht="13.5" thickBot="1" x14ac:dyDescent="0.25">
      <c r="B127" s="654">
        <v>44227</v>
      </c>
      <c r="C127" s="655">
        <v>0.7</v>
      </c>
      <c r="D127" s="656">
        <f t="shared" si="47"/>
        <v>19.3</v>
      </c>
      <c r="E127" s="656">
        <f t="shared" si="48"/>
        <v>21.3</v>
      </c>
      <c r="F127" s="657">
        <f t="shared" si="49"/>
        <v>22.729686609686635</v>
      </c>
      <c r="G127" s="658"/>
      <c r="H127" s="659"/>
      <c r="I127" s="660">
        <f t="shared" si="50"/>
        <v>0</v>
      </c>
      <c r="J127" s="660">
        <f t="shared" si="51"/>
        <v>0</v>
      </c>
      <c r="K127" s="661">
        <f t="shared" si="52"/>
        <v>0</v>
      </c>
      <c r="L127" s="654">
        <v>44286</v>
      </c>
      <c r="M127" s="655">
        <v>15.8</v>
      </c>
      <c r="N127" s="636">
        <f t="shared" si="53"/>
        <v>0</v>
      </c>
      <c r="O127" s="636">
        <f t="shared" si="54"/>
        <v>0</v>
      </c>
      <c r="P127" s="636">
        <f t="shared" si="55"/>
        <v>0</v>
      </c>
      <c r="Q127" s="658"/>
      <c r="R127" s="659"/>
      <c r="S127" s="642">
        <f t="shared" si="56"/>
        <v>0</v>
      </c>
      <c r="T127" s="642">
        <f t="shared" si="57"/>
        <v>0</v>
      </c>
      <c r="U127" s="643">
        <f t="shared" si="58"/>
        <v>0</v>
      </c>
      <c r="V127" s="689">
        <v>44347</v>
      </c>
      <c r="W127" s="690">
        <v>15.4</v>
      </c>
      <c r="X127" s="662">
        <f t="shared" si="59"/>
        <v>0</v>
      </c>
      <c r="Y127" s="663">
        <f t="shared" si="60"/>
        <v>0</v>
      </c>
      <c r="Z127" s="664">
        <f t="shared" si="61"/>
        <v>0</v>
      </c>
      <c r="AA127" s="686"/>
      <c r="AB127" s="688"/>
      <c r="AC127" s="642">
        <f t="shared" si="62"/>
        <v>0</v>
      </c>
      <c r="AD127" s="642">
        <f t="shared" si="63"/>
        <v>0</v>
      </c>
      <c r="AE127" s="644">
        <f t="shared" si="64"/>
        <v>0</v>
      </c>
    </row>
    <row r="128" spans="2:31" ht="14.25" thickTop="1" thickBot="1" x14ac:dyDescent="0.25">
      <c r="B128" s="665" t="s">
        <v>364</v>
      </c>
      <c r="C128" s="666">
        <f>IF(COUNT(C97:C127) = 0, "ni podatkov",AVERAGE(C97:C127))</f>
        <v>1.2193548387096775</v>
      </c>
      <c r="D128" s="667">
        <f>SUM(D97:D127)</f>
        <v>582.20000000000005</v>
      </c>
      <c r="E128" s="668"/>
      <c r="F128" s="669"/>
      <c r="G128" s="670" t="s">
        <v>364</v>
      </c>
      <c r="H128" s="666">
        <f>IF(COUNT(H97:H127) = 0, "ni podatkov",AVERAGE(H97:H127))</f>
        <v>5.8928571428571432</v>
      </c>
      <c r="I128" s="667">
        <f>SUM(I97:I127)</f>
        <v>394.99999999999994</v>
      </c>
      <c r="J128" s="667">
        <f t="shared" ref="J128:K128" si="65">SUM(J97:J127)</f>
        <v>450.99999999999994</v>
      </c>
      <c r="K128" s="667">
        <f t="shared" si="65"/>
        <v>491.03122507122572</v>
      </c>
      <c r="L128" s="665" t="s">
        <v>364</v>
      </c>
      <c r="M128" s="666">
        <f>IF(COUNT(M97:M127) = 0, "ni podatkov",AVERAGE(M97:M127))</f>
        <v>6.7354838709677445</v>
      </c>
      <c r="N128" s="667">
        <f>SUM(N97:N127)</f>
        <v>401.4</v>
      </c>
      <c r="O128" s="667">
        <f t="shared" ref="O128:P128" si="66">SUM(O97:O127)</f>
        <v>459.39999999999992</v>
      </c>
      <c r="P128" s="667">
        <f t="shared" si="66"/>
        <v>500.86091168091241</v>
      </c>
      <c r="Q128" s="665" t="s">
        <v>364</v>
      </c>
      <c r="R128" s="666">
        <f>IF(COUNT(R97:R127) = 0, "ni podatkov",AVERAGE(R97:R127))</f>
        <v>9.1300000000000008</v>
      </c>
      <c r="S128" s="667">
        <f>SUM(S97:S127)</f>
        <v>283.39999999999998</v>
      </c>
      <c r="T128" s="667">
        <f t="shared" ref="T128:U128" si="67">SUM(T97:T127)</f>
        <v>327.39999999999998</v>
      </c>
      <c r="U128" s="667">
        <f t="shared" si="67"/>
        <v>358.85310541310594</v>
      </c>
      <c r="V128" s="671" t="s">
        <v>364</v>
      </c>
      <c r="W128" s="672">
        <f>IF(COUNT(W97:W127) = 0, "ni podatkov",AVERAGE(W97:W127))</f>
        <v>13.461290322580641</v>
      </c>
      <c r="X128" s="673">
        <f>SUM(X97:X127)</f>
        <v>105.9</v>
      </c>
      <c r="Y128" s="674"/>
      <c r="Z128" s="674"/>
      <c r="AA128" s="665" t="s">
        <v>364</v>
      </c>
      <c r="AB128" s="666">
        <f>IF(COUNT(AB97:AB127) = 0, "ni podatkov",AVERAGE(AB97:AB127))</f>
        <v>23.06</v>
      </c>
      <c r="AC128" s="667">
        <f>SUM(AC97:AC127)</f>
        <v>0</v>
      </c>
      <c r="AD128" s="667">
        <f t="shared" ref="AD128:AE128" si="68">SUM(AD97:AD127)</f>
        <v>0</v>
      </c>
      <c r="AE128" s="667">
        <f t="shared" si="68"/>
        <v>0</v>
      </c>
    </row>
    <row r="129" spans="2:31" ht="13.5" thickBot="1" x14ac:dyDescent="0.25">
      <c r="B129" s="1185" t="s">
        <v>365</v>
      </c>
      <c r="C129" s="1186"/>
      <c r="D129" s="1186"/>
      <c r="E129" s="1186"/>
      <c r="F129" s="1187"/>
      <c r="G129" s="1185" t="s">
        <v>366</v>
      </c>
      <c r="H129" s="1186"/>
      <c r="I129" s="1186"/>
      <c r="J129" s="1186"/>
      <c r="K129" s="1187"/>
      <c r="L129" s="1182" t="s">
        <v>367</v>
      </c>
      <c r="M129" s="1183"/>
      <c r="N129" s="1183"/>
      <c r="O129" s="1183"/>
      <c r="P129" s="1184"/>
      <c r="Q129" s="1182" t="s">
        <v>368</v>
      </c>
      <c r="R129" s="1183"/>
      <c r="S129" s="1183"/>
      <c r="T129" s="1183"/>
      <c r="U129" s="1184"/>
      <c r="V129" s="1182" t="s">
        <v>369</v>
      </c>
      <c r="W129" s="1183"/>
      <c r="X129" s="1183"/>
      <c r="Y129" s="1183"/>
      <c r="Z129" s="1184"/>
      <c r="AA129" s="1182" t="s">
        <v>370</v>
      </c>
      <c r="AB129" s="1183"/>
      <c r="AC129" s="1183"/>
      <c r="AD129" s="1183"/>
      <c r="AE129" s="1184"/>
    </row>
    <row r="130" spans="2:31" x14ac:dyDescent="0.2">
      <c r="B130" s="626" t="s">
        <v>359</v>
      </c>
      <c r="C130" s="627" t="s">
        <v>360</v>
      </c>
      <c r="D130" s="628" t="s">
        <v>361</v>
      </c>
      <c r="E130" s="629" t="s">
        <v>362</v>
      </c>
      <c r="F130" s="630" t="s">
        <v>363</v>
      </c>
      <c r="G130" s="626" t="s">
        <v>359</v>
      </c>
      <c r="H130" s="627" t="s">
        <v>360</v>
      </c>
      <c r="I130" s="628" t="s">
        <v>361</v>
      </c>
      <c r="J130" s="629" t="s">
        <v>362</v>
      </c>
      <c r="K130" s="630" t="s">
        <v>363</v>
      </c>
      <c r="L130" s="675" t="s">
        <v>359</v>
      </c>
      <c r="M130" s="676" t="s">
        <v>360</v>
      </c>
      <c r="N130" s="677" t="s">
        <v>361</v>
      </c>
      <c r="O130" s="678" t="s">
        <v>362</v>
      </c>
      <c r="P130" s="679" t="s">
        <v>363</v>
      </c>
      <c r="Q130" s="675" t="s">
        <v>359</v>
      </c>
      <c r="R130" s="676" t="s">
        <v>360</v>
      </c>
      <c r="S130" s="677" t="s">
        <v>361</v>
      </c>
      <c r="T130" s="678" t="s">
        <v>362</v>
      </c>
      <c r="U130" s="679" t="s">
        <v>363</v>
      </c>
      <c r="V130" s="675" t="s">
        <v>359</v>
      </c>
      <c r="W130" s="676" t="s">
        <v>360</v>
      </c>
      <c r="X130" s="677" t="s">
        <v>361</v>
      </c>
      <c r="Y130" s="678" t="s">
        <v>362</v>
      </c>
      <c r="Z130" s="679" t="s">
        <v>363</v>
      </c>
      <c r="AA130" s="675" t="s">
        <v>359</v>
      </c>
      <c r="AB130" s="676" t="s">
        <v>360</v>
      </c>
      <c r="AC130" s="677" t="s">
        <v>361</v>
      </c>
      <c r="AD130" s="678" t="s">
        <v>362</v>
      </c>
      <c r="AE130" s="679" t="s">
        <v>363</v>
      </c>
    </row>
    <row r="131" spans="2:31" x14ac:dyDescent="0.2">
      <c r="B131" s="691">
        <v>44378</v>
      </c>
      <c r="C131" s="687">
        <v>17.399999999999999</v>
      </c>
      <c r="D131" s="642">
        <f t="shared" ref="D131:D161" si="69">IF(C131&lt;=12, IF(C131="", 0, $E$21-C131), 0)</f>
        <v>0</v>
      </c>
      <c r="E131" s="642">
        <f t="shared" ref="E131:E161" si="70">IF(C131&lt;=12, IF(C131="", 0, $E$22-C131), 0)</f>
        <v>0</v>
      </c>
      <c r="F131" s="644">
        <f t="shared" ref="F131:F161" si="71">IF(C131&lt;=12, IF(C131="", 0, $E$23-C131), 0)</f>
        <v>0</v>
      </c>
      <c r="G131" s="684">
        <v>44409</v>
      </c>
      <c r="H131" s="685">
        <v>20.5</v>
      </c>
      <c r="I131" s="636">
        <f t="shared" ref="I131:I161" si="72">IF(H131&lt;=12, IF(H131="", 0, $E$21-H131), 0)</f>
        <v>0</v>
      </c>
      <c r="J131" s="636">
        <f t="shared" ref="J131:J161" si="73">IF(H131&lt;=12, IF(H131="", 0, $E$22-H131), 0)</f>
        <v>0</v>
      </c>
      <c r="K131" s="637">
        <f t="shared" ref="K131:K161" si="74">IF(H131&lt;=12, IF(H131="", 0, $E$23-H131), 0)</f>
        <v>0</v>
      </c>
      <c r="L131" s="691">
        <v>44440</v>
      </c>
      <c r="M131" s="687">
        <v>18.399999999999999</v>
      </c>
      <c r="N131" s="642">
        <f t="shared" ref="N131:N161" si="75">IF(M131&lt;=12, IF(M131="", 0, $E$21-M131), 0)</f>
        <v>0</v>
      </c>
      <c r="O131" s="642">
        <f t="shared" ref="O131:O161" si="76">IF(M131&lt;=12, IF(M131="", 0, $E$22-M131), 0)</f>
        <v>0</v>
      </c>
      <c r="P131" s="644">
        <f t="shared" ref="P131:P161" si="77">IF(M131&lt;=12, IF(M131="", 0, $E$23-M131), 0)</f>
        <v>0</v>
      </c>
      <c r="Q131" s="684">
        <v>44470</v>
      </c>
      <c r="R131" s="685">
        <v>13.5</v>
      </c>
      <c r="S131" s="636">
        <f t="shared" ref="S131:S161" si="78">IF(R131&lt;=12, IF(R131="", 0, $E$21-R131), 0)</f>
        <v>0</v>
      </c>
      <c r="T131" s="636">
        <f t="shared" ref="T131:T161" si="79">IF(R131&lt;=12, IF(R131="", 0, $E$22-R131), 0)</f>
        <v>0</v>
      </c>
      <c r="U131" s="637">
        <f t="shared" ref="U131:U161" si="80">IF(R131&lt;=12, IF(R131="", 0, $E$23-R131), 0)</f>
        <v>0</v>
      </c>
      <c r="V131" s="691">
        <v>44501</v>
      </c>
      <c r="W131" s="687">
        <v>8.6999999999999993</v>
      </c>
      <c r="X131" s="642">
        <f t="shared" ref="X131:X161" si="81">IF(W131&lt;=12, IF(W131="", 0, $E$21-W131), 0)</f>
        <v>11.3</v>
      </c>
      <c r="Y131" s="642">
        <f t="shared" ref="Y131:Y161" si="82">IF(W131&lt;=12, IF(W131="", 0, $E$22-W131), 0)</f>
        <v>13.3</v>
      </c>
      <c r="Z131" s="644">
        <f t="shared" ref="Z131:Z161" si="83">IF(W131&lt;=12, IF(W131="", 0, $E$23-W131), 0)</f>
        <v>14.729686609686635</v>
      </c>
      <c r="AA131" s="684">
        <v>44531</v>
      </c>
      <c r="AB131" s="685">
        <v>3.7</v>
      </c>
      <c r="AC131" s="636">
        <f t="shared" ref="AC131:AC161" si="84">IF(AB131&lt;=12, IF(AB131="", 0, $E$21-AB131), 0)</f>
        <v>16.3</v>
      </c>
      <c r="AD131" s="636">
        <f t="shared" ref="AD131:AD161" si="85">IF(AB131&lt;=12, IF(AB131="", 0, $E$22-AB131), 0)</f>
        <v>18.3</v>
      </c>
      <c r="AE131" s="637">
        <f t="shared" ref="AE131:AE161" si="86">IF(AB131&lt;=12, IF(AB131="", 0, $E$23-AB131), 0)</f>
        <v>19.729686609686635</v>
      </c>
    </row>
    <row r="132" spans="2:31" x14ac:dyDescent="0.2">
      <c r="B132" s="691">
        <v>44379</v>
      </c>
      <c r="C132" s="687">
        <v>20.7</v>
      </c>
      <c r="D132" s="642">
        <f t="shared" si="69"/>
        <v>0</v>
      </c>
      <c r="E132" s="642">
        <f t="shared" si="70"/>
        <v>0</v>
      </c>
      <c r="F132" s="644">
        <f t="shared" si="71"/>
        <v>0</v>
      </c>
      <c r="G132" s="684">
        <v>44410</v>
      </c>
      <c r="H132" s="685">
        <v>19.600000000000001</v>
      </c>
      <c r="I132" s="636">
        <f t="shared" si="72"/>
        <v>0</v>
      </c>
      <c r="J132" s="636">
        <f t="shared" si="73"/>
        <v>0</v>
      </c>
      <c r="K132" s="637">
        <f t="shared" si="74"/>
        <v>0</v>
      </c>
      <c r="L132" s="691">
        <v>44441</v>
      </c>
      <c r="M132" s="687">
        <v>17.5</v>
      </c>
      <c r="N132" s="642">
        <f t="shared" si="75"/>
        <v>0</v>
      </c>
      <c r="O132" s="642">
        <f t="shared" si="76"/>
        <v>0</v>
      </c>
      <c r="P132" s="644">
        <f t="shared" si="77"/>
        <v>0</v>
      </c>
      <c r="Q132" s="684">
        <v>44471</v>
      </c>
      <c r="R132" s="685">
        <v>14</v>
      </c>
      <c r="S132" s="636">
        <f t="shared" si="78"/>
        <v>0</v>
      </c>
      <c r="T132" s="636">
        <f t="shared" si="79"/>
        <v>0</v>
      </c>
      <c r="U132" s="637">
        <f t="shared" si="80"/>
        <v>0</v>
      </c>
      <c r="V132" s="691">
        <v>44502</v>
      </c>
      <c r="W132" s="687">
        <v>9.6</v>
      </c>
      <c r="X132" s="642">
        <f t="shared" si="81"/>
        <v>10.4</v>
      </c>
      <c r="Y132" s="642">
        <f t="shared" si="82"/>
        <v>12.4</v>
      </c>
      <c r="Z132" s="644">
        <f t="shared" si="83"/>
        <v>13.829686609686634</v>
      </c>
      <c r="AA132" s="684">
        <v>44532</v>
      </c>
      <c r="AB132" s="685">
        <v>2.6</v>
      </c>
      <c r="AC132" s="636">
        <f t="shared" si="84"/>
        <v>17.399999999999999</v>
      </c>
      <c r="AD132" s="636">
        <f t="shared" si="85"/>
        <v>19.399999999999999</v>
      </c>
      <c r="AE132" s="637">
        <f t="shared" si="86"/>
        <v>20.829686609686632</v>
      </c>
    </row>
    <row r="133" spans="2:31" x14ac:dyDescent="0.2">
      <c r="B133" s="691">
        <v>44380</v>
      </c>
      <c r="C133" s="687">
        <v>23.9</v>
      </c>
      <c r="D133" s="642">
        <f t="shared" si="69"/>
        <v>0</v>
      </c>
      <c r="E133" s="642">
        <f t="shared" si="70"/>
        <v>0</v>
      </c>
      <c r="F133" s="644">
        <f t="shared" si="71"/>
        <v>0</v>
      </c>
      <c r="G133" s="684">
        <v>44411</v>
      </c>
      <c r="H133" s="685">
        <v>20.5</v>
      </c>
      <c r="I133" s="636">
        <f t="shared" si="72"/>
        <v>0</v>
      </c>
      <c r="J133" s="636">
        <f t="shared" si="73"/>
        <v>0</v>
      </c>
      <c r="K133" s="637">
        <f t="shared" si="74"/>
        <v>0</v>
      </c>
      <c r="L133" s="691">
        <v>44442</v>
      </c>
      <c r="M133" s="687">
        <v>18.100000000000001</v>
      </c>
      <c r="N133" s="642">
        <f t="shared" si="75"/>
        <v>0</v>
      </c>
      <c r="O133" s="642">
        <f t="shared" si="76"/>
        <v>0</v>
      </c>
      <c r="P133" s="644">
        <f t="shared" si="77"/>
        <v>0</v>
      </c>
      <c r="Q133" s="684">
        <v>44472</v>
      </c>
      <c r="R133" s="685">
        <v>15.5</v>
      </c>
      <c r="S133" s="636">
        <f t="shared" si="78"/>
        <v>0</v>
      </c>
      <c r="T133" s="636">
        <f t="shared" si="79"/>
        <v>0</v>
      </c>
      <c r="U133" s="637">
        <f t="shared" si="80"/>
        <v>0</v>
      </c>
      <c r="V133" s="691">
        <v>44503</v>
      </c>
      <c r="W133" s="687">
        <v>9.5</v>
      </c>
      <c r="X133" s="642">
        <f t="shared" si="81"/>
        <v>10.5</v>
      </c>
      <c r="Y133" s="642">
        <f t="shared" si="82"/>
        <v>12.5</v>
      </c>
      <c r="Z133" s="644">
        <f t="shared" si="83"/>
        <v>13.929686609686634</v>
      </c>
      <c r="AA133" s="684">
        <v>44533</v>
      </c>
      <c r="AB133" s="685">
        <v>1.2</v>
      </c>
      <c r="AC133" s="636">
        <f t="shared" si="84"/>
        <v>18.8</v>
      </c>
      <c r="AD133" s="636">
        <f t="shared" si="85"/>
        <v>20.8</v>
      </c>
      <c r="AE133" s="637">
        <f t="shared" si="86"/>
        <v>22.229686609686635</v>
      </c>
    </row>
    <row r="134" spans="2:31" x14ac:dyDescent="0.2">
      <c r="B134" s="691">
        <v>44381</v>
      </c>
      <c r="C134" s="687">
        <v>20.3</v>
      </c>
      <c r="D134" s="642">
        <f t="shared" si="69"/>
        <v>0</v>
      </c>
      <c r="E134" s="642">
        <f t="shared" si="70"/>
        <v>0</v>
      </c>
      <c r="F134" s="644">
        <f t="shared" si="71"/>
        <v>0</v>
      </c>
      <c r="G134" s="684">
        <v>44412</v>
      </c>
      <c r="H134" s="685">
        <v>20.9</v>
      </c>
      <c r="I134" s="636">
        <f t="shared" si="72"/>
        <v>0</v>
      </c>
      <c r="J134" s="636">
        <f t="shared" si="73"/>
        <v>0</v>
      </c>
      <c r="K134" s="637">
        <f t="shared" si="74"/>
        <v>0</v>
      </c>
      <c r="L134" s="691">
        <v>44443</v>
      </c>
      <c r="M134" s="687">
        <v>18.600000000000001</v>
      </c>
      <c r="N134" s="642">
        <f t="shared" si="75"/>
        <v>0</v>
      </c>
      <c r="O134" s="642">
        <f t="shared" si="76"/>
        <v>0</v>
      </c>
      <c r="P134" s="644">
        <f t="shared" si="77"/>
        <v>0</v>
      </c>
      <c r="Q134" s="684">
        <v>44473</v>
      </c>
      <c r="R134" s="685">
        <v>17.399999999999999</v>
      </c>
      <c r="S134" s="636">
        <f t="shared" si="78"/>
        <v>0</v>
      </c>
      <c r="T134" s="636">
        <f t="shared" si="79"/>
        <v>0</v>
      </c>
      <c r="U134" s="637">
        <f t="shared" si="80"/>
        <v>0</v>
      </c>
      <c r="V134" s="691">
        <v>44504</v>
      </c>
      <c r="W134" s="687">
        <v>11.2</v>
      </c>
      <c r="X134" s="642">
        <f t="shared" si="81"/>
        <v>8.8000000000000007</v>
      </c>
      <c r="Y134" s="642">
        <f t="shared" si="82"/>
        <v>10.8</v>
      </c>
      <c r="Z134" s="644">
        <f t="shared" si="83"/>
        <v>12.229686609686635</v>
      </c>
      <c r="AA134" s="684">
        <v>44534</v>
      </c>
      <c r="AB134" s="685">
        <v>1.3</v>
      </c>
      <c r="AC134" s="636">
        <f t="shared" si="84"/>
        <v>18.7</v>
      </c>
      <c r="AD134" s="636">
        <f t="shared" si="85"/>
        <v>20.7</v>
      </c>
      <c r="AE134" s="637">
        <f t="shared" si="86"/>
        <v>22.129686609686633</v>
      </c>
    </row>
    <row r="135" spans="2:31" x14ac:dyDescent="0.2">
      <c r="B135" s="691">
        <v>44382</v>
      </c>
      <c r="C135" s="687">
        <v>21.2</v>
      </c>
      <c r="D135" s="642">
        <f t="shared" si="69"/>
        <v>0</v>
      </c>
      <c r="E135" s="642">
        <f t="shared" si="70"/>
        <v>0</v>
      </c>
      <c r="F135" s="644">
        <f t="shared" si="71"/>
        <v>0</v>
      </c>
      <c r="G135" s="684">
        <v>44413</v>
      </c>
      <c r="H135" s="685">
        <v>19.2</v>
      </c>
      <c r="I135" s="636">
        <f t="shared" si="72"/>
        <v>0</v>
      </c>
      <c r="J135" s="636">
        <f t="shared" si="73"/>
        <v>0</v>
      </c>
      <c r="K135" s="637">
        <f t="shared" si="74"/>
        <v>0</v>
      </c>
      <c r="L135" s="691">
        <v>44444</v>
      </c>
      <c r="M135" s="687">
        <v>18.2</v>
      </c>
      <c r="N135" s="642">
        <f t="shared" si="75"/>
        <v>0</v>
      </c>
      <c r="O135" s="642">
        <f t="shared" si="76"/>
        <v>0</v>
      </c>
      <c r="P135" s="644">
        <f t="shared" si="77"/>
        <v>0</v>
      </c>
      <c r="Q135" s="684">
        <v>44474</v>
      </c>
      <c r="R135" s="685">
        <v>16.8</v>
      </c>
      <c r="S135" s="636">
        <f t="shared" si="78"/>
        <v>0</v>
      </c>
      <c r="T135" s="636">
        <f t="shared" si="79"/>
        <v>0</v>
      </c>
      <c r="U135" s="637">
        <f t="shared" si="80"/>
        <v>0</v>
      </c>
      <c r="V135" s="691">
        <v>44505</v>
      </c>
      <c r="W135" s="687">
        <v>7.4</v>
      </c>
      <c r="X135" s="642">
        <f t="shared" si="81"/>
        <v>12.6</v>
      </c>
      <c r="Y135" s="642">
        <f t="shared" si="82"/>
        <v>14.6</v>
      </c>
      <c r="Z135" s="644">
        <f t="shared" si="83"/>
        <v>16.029686609686635</v>
      </c>
      <c r="AA135" s="684">
        <v>44535</v>
      </c>
      <c r="AB135" s="685">
        <v>1.6</v>
      </c>
      <c r="AC135" s="636">
        <f t="shared" si="84"/>
        <v>18.399999999999999</v>
      </c>
      <c r="AD135" s="636">
        <f t="shared" si="85"/>
        <v>20.399999999999999</v>
      </c>
      <c r="AE135" s="637">
        <f t="shared" si="86"/>
        <v>21.829686609686632</v>
      </c>
    </row>
    <row r="136" spans="2:31" x14ac:dyDescent="0.2">
      <c r="B136" s="691">
        <v>44383</v>
      </c>
      <c r="C136" s="687">
        <v>25.6</v>
      </c>
      <c r="D136" s="642">
        <f t="shared" si="69"/>
        <v>0</v>
      </c>
      <c r="E136" s="642">
        <f t="shared" si="70"/>
        <v>0</v>
      </c>
      <c r="F136" s="644">
        <f t="shared" si="71"/>
        <v>0</v>
      </c>
      <c r="G136" s="684">
        <v>44414</v>
      </c>
      <c r="H136" s="685">
        <v>21.3</v>
      </c>
      <c r="I136" s="636">
        <f t="shared" si="72"/>
        <v>0</v>
      </c>
      <c r="J136" s="636">
        <f t="shared" si="73"/>
        <v>0</v>
      </c>
      <c r="K136" s="637">
        <f t="shared" si="74"/>
        <v>0</v>
      </c>
      <c r="L136" s="691">
        <v>44445</v>
      </c>
      <c r="M136" s="687">
        <v>18.8</v>
      </c>
      <c r="N136" s="642">
        <f t="shared" si="75"/>
        <v>0</v>
      </c>
      <c r="O136" s="642">
        <f t="shared" si="76"/>
        <v>0</v>
      </c>
      <c r="P136" s="644">
        <f t="shared" si="77"/>
        <v>0</v>
      </c>
      <c r="Q136" s="684">
        <v>44475</v>
      </c>
      <c r="R136" s="685">
        <v>11.5</v>
      </c>
      <c r="S136" s="636">
        <f t="shared" si="78"/>
        <v>8.5</v>
      </c>
      <c r="T136" s="636">
        <f t="shared" si="79"/>
        <v>10.5</v>
      </c>
      <c r="U136" s="637">
        <f t="shared" si="80"/>
        <v>11.929686609686634</v>
      </c>
      <c r="V136" s="691">
        <v>44506</v>
      </c>
      <c r="W136" s="687">
        <v>8.9</v>
      </c>
      <c r="X136" s="642">
        <f t="shared" si="81"/>
        <v>11.1</v>
      </c>
      <c r="Y136" s="642">
        <f t="shared" si="82"/>
        <v>13.1</v>
      </c>
      <c r="Z136" s="644">
        <f t="shared" si="83"/>
        <v>14.529686609686634</v>
      </c>
      <c r="AA136" s="684">
        <v>44536</v>
      </c>
      <c r="AB136" s="685">
        <v>1</v>
      </c>
      <c r="AC136" s="636">
        <f t="shared" si="84"/>
        <v>19</v>
      </c>
      <c r="AD136" s="636">
        <f t="shared" si="85"/>
        <v>21</v>
      </c>
      <c r="AE136" s="637">
        <f t="shared" si="86"/>
        <v>22.429686609686634</v>
      </c>
    </row>
    <row r="137" spans="2:31" x14ac:dyDescent="0.2">
      <c r="B137" s="691">
        <v>44384</v>
      </c>
      <c r="C137" s="687">
        <v>27.6</v>
      </c>
      <c r="D137" s="642">
        <f t="shared" si="69"/>
        <v>0</v>
      </c>
      <c r="E137" s="642">
        <f t="shared" si="70"/>
        <v>0</v>
      </c>
      <c r="F137" s="644">
        <f t="shared" si="71"/>
        <v>0</v>
      </c>
      <c r="G137" s="684">
        <v>44415</v>
      </c>
      <c r="H137" s="685">
        <v>23.9</v>
      </c>
      <c r="I137" s="636">
        <f t="shared" si="72"/>
        <v>0</v>
      </c>
      <c r="J137" s="636">
        <f t="shared" si="73"/>
        <v>0</v>
      </c>
      <c r="K137" s="637">
        <f t="shared" si="74"/>
        <v>0</v>
      </c>
      <c r="L137" s="691">
        <v>44446</v>
      </c>
      <c r="M137" s="687">
        <v>18.399999999999999</v>
      </c>
      <c r="N137" s="642">
        <f t="shared" si="75"/>
        <v>0</v>
      </c>
      <c r="O137" s="642">
        <f t="shared" si="76"/>
        <v>0</v>
      </c>
      <c r="P137" s="644">
        <f t="shared" si="77"/>
        <v>0</v>
      </c>
      <c r="Q137" s="684">
        <v>44476</v>
      </c>
      <c r="R137" s="685">
        <v>11.5</v>
      </c>
      <c r="S137" s="636">
        <f t="shared" si="78"/>
        <v>8.5</v>
      </c>
      <c r="T137" s="636">
        <f t="shared" si="79"/>
        <v>10.5</v>
      </c>
      <c r="U137" s="637">
        <f t="shared" si="80"/>
        <v>11.929686609686634</v>
      </c>
      <c r="V137" s="691">
        <v>44507</v>
      </c>
      <c r="W137" s="687">
        <v>8.3000000000000007</v>
      </c>
      <c r="X137" s="642">
        <f t="shared" si="81"/>
        <v>11.7</v>
      </c>
      <c r="Y137" s="642">
        <f t="shared" si="82"/>
        <v>13.7</v>
      </c>
      <c r="Z137" s="644">
        <f t="shared" si="83"/>
        <v>15.129686609686633</v>
      </c>
      <c r="AA137" s="684">
        <v>44537</v>
      </c>
      <c r="AB137" s="685">
        <v>-1</v>
      </c>
      <c r="AC137" s="636">
        <f t="shared" si="84"/>
        <v>21</v>
      </c>
      <c r="AD137" s="636">
        <f t="shared" si="85"/>
        <v>23</v>
      </c>
      <c r="AE137" s="637">
        <f t="shared" si="86"/>
        <v>24.429686609686634</v>
      </c>
    </row>
    <row r="138" spans="2:31" x14ac:dyDescent="0.2">
      <c r="B138" s="691">
        <v>44385</v>
      </c>
      <c r="C138" s="687">
        <v>27.5</v>
      </c>
      <c r="D138" s="642">
        <f t="shared" si="69"/>
        <v>0</v>
      </c>
      <c r="E138" s="642">
        <f t="shared" si="70"/>
        <v>0</v>
      </c>
      <c r="F138" s="644">
        <f t="shared" si="71"/>
        <v>0</v>
      </c>
      <c r="G138" s="684">
        <v>44416</v>
      </c>
      <c r="H138" s="685">
        <v>23.4</v>
      </c>
      <c r="I138" s="636">
        <f t="shared" si="72"/>
        <v>0</v>
      </c>
      <c r="J138" s="636">
        <f t="shared" si="73"/>
        <v>0</v>
      </c>
      <c r="K138" s="637">
        <f t="shared" si="74"/>
        <v>0</v>
      </c>
      <c r="L138" s="691">
        <v>44447</v>
      </c>
      <c r="M138" s="687">
        <v>17.600000000000001</v>
      </c>
      <c r="N138" s="642">
        <f t="shared" si="75"/>
        <v>0</v>
      </c>
      <c r="O138" s="642">
        <f t="shared" si="76"/>
        <v>0</v>
      </c>
      <c r="P138" s="644">
        <f t="shared" si="77"/>
        <v>0</v>
      </c>
      <c r="Q138" s="684">
        <v>44477</v>
      </c>
      <c r="R138" s="685">
        <v>12.2</v>
      </c>
      <c r="S138" s="636">
        <f t="shared" si="78"/>
        <v>0</v>
      </c>
      <c r="T138" s="636">
        <f t="shared" si="79"/>
        <v>0</v>
      </c>
      <c r="U138" s="637">
        <f t="shared" si="80"/>
        <v>0</v>
      </c>
      <c r="V138" s="691">
        <v>44508</v>
      </c>
      <c r="W138" s="687">
        <v>7.2</v>
      </c>
      <c r="X138" s="642">
        <f t="shared" si="81"/>
        <v>12.8</v>
      </c>
      <c r="Y138" s="642">
        <f t="shared" si="82"/>
        <v>14.8</v>
      </c>
      <c r="Z138" s="644">
        <f t="shared" si="83"/>
        <v>16.229686609686635</v>
      </c>
      <c r="AA138" s="684">
        <v>44538</v>
      </c>
      <c r="AB138" s="685">
        <v>-0.7</v>
      </c>
      <c r="AC138" s="636">
        <f t="shared" si="84"/>
        <v>20.7</v>
      </c>
      <c r="AD138" s="636">
        <f t="shared" si="85"/>
        <v>22.7</v>
      </c>
      <c r="AE138" s="637">
        <f t="shared" si="86"/>
        <v>24.129686609686633</v>
      </c>
    </row>
    <row r="139" spans="2:31" x14ac:dyDescent="0.2">
      <c r="B139" s="691">
        <v>44386</v>
      </c>
      <c r="C139" s="687">
        <v>25.1</v>
      </c>
      <c r="D139" s="642">
        <f t="shared" si="69"/>
        <v>0</v>
      </c>
      <c r="E139" s="642">
        <f t="shared" si="70"/>
        <v>0</v>
      </c>
      <c r="F139" s="644">
        <f t="shared" si="71"/>
        <v>0</v>
      </c>
      <c r="G139" s="684">
        <v>44417</v>
      </c>
      <c r="H139" s="685">
        <v>22.5</v>
      </c>
      <c r="I139" s="636">
        <f t="shared" si="72"/>
        <v>0</v>
      </c>
      <c r="J139" s="636">
        <f t="shared" si="73"/>
        <v>0</v>
      </c>
      <c r="K139" s="637">
        <f t="shared" si="74"/>
        <v>0</v>
      </c>
      <c r="L139" s="691">
        <v>44448</v>
      </c>
      <c r="M139" s="687">
        <v>17.8</v>
      </c>
      <c r="N139" s="642">
        <f t="shared" si="75"/>
        <v>0</v>
      </c>
      <c r="O139" s="642">
        <f t="shared" si="76"/>
        <v>0</v>
      </c>
      <c r="P139" s="644">
        <f t="shared" si="77"/>
        <v>0</v>
      </c>
      <c r="Q139" s="684">
        <v>44478</v>
      </c>
      <c r="R139" s="685">
        <v>10.3</v>
      </c>
      <c r="S139" s="636">
        <f t="shared" si="78"/>
        <v>9.6999999999999993</v>
      </c>
      <c r="T139" s="636">
        <f t="shared" si="79"/>
        <v>11.7</v>
      </c>
      <c r="U139" s="637">
        <f t="shared" si="80"/>
        <v>13.129686609686633</v>
      </c>
      <c r="V139" s="691">
        <v>44509</v>
      </c>
      <c r="W139" s="687">
        <v>6.4</v>
      </c>
      <c r="X139" s="642">
        <f t="shared" si="81"/>
        <v>13.6</v>
      </c>
      <c r="Y139" s="642">
        <f t="shared" si="82"/>
        <v>15.6</v>
      </c>
      <c r="Z139" s="644">
        <f t="shared" si="83"/>
        <v>17.029686609686635</v>
      </c>
      <c r="AA139" s="684">
        <v>44539</v>
      </c>
      <c r="AB139" s="685">
        <v>0.6</v>
      </c>
      <c r="AC139" s="636">
        <f t="shared" si="84"/>
        <v>19.399999999999999</v>
      </c>
      <c r="AD139" s="636">
        <f t="shared" si="85"/>
        <v>21.4</v>
      </c>
      <c r="AE139" s="637">
        <f t="shared" si="86"/>
        <v>22.829686609686632</v>
      </c>
    </row>
    <row r="140" spans="2:31" x14ac:dyDescent="0.2">
      <c r="B140" s="691">
        <v>44387</v>
      </c>
      <c r="C140" s="687">
        <v>24.3</v>
      </c>
      <c r="D140" s="642">
        <f t="shared" si="69"/>
        <v>0</v>
      </c>
      <c r="E140" s="642">
        <f t="shared" si="70"/>
        <v>0</v>
      </c>
      <c r="F140" s="644">
        <f t="shared" si="71"/>
        <v>0</v>
      </c>
      <c r="G140" s="684">
        <v>44418</v>
      </c>
      <c r="H140" s="685">
        <v>24.5</v>
      </c>
      <c r="I140" s="636">
        <f t="shared" si="72"/>
        <v>0</v>
      </c>
      <c r="J140" s="636">
        <f t="shared" si="73"/>
        <v>0</v>
      </c>
      <c r="K140" s="637">
        <f t="shared" si="74"/>
        <v>0</v>
      </c>
      <c r="L140" s="691">
        <v>44449</v>
      </c>
      <c r="M140" s="687">
        <v>19</v>
      </c>
      <c r="N140" s="642">
        <f t="shared" si="75"/>
        <v>0</v>
      </c>
      <c r="O140" s="642">
        <f t="shared" si="76"/>
        <v>0</v>
      </c>
      <c r="P140" s="644">
        <f t="shared" si="77"/>
        <v>0</v>
      </c>
      <c r="Q140" s="684">
        <v>44479</v>
      </c>
      <c r="R140" s="685">
        <v>7.8</v>
      </c>
      <c r="S140" s="636">
        <f t="shared" si="78"/>
        <v>12.2</v>
      </c>
      <c r="T140" s="636">
        <f t="shared" si="79"/>
        <v>14.2</v>
      </c>
      <c r="U140" s="637">
        <f t="shared" si="80"/>
        <v>15.629686609686633</v>
      </c>
      <c r="V140" s="691">
        <v>44510</v>
      </c>
      <c r="W140" s="687">
        <v>5.3</v>
      </c>
      <c r="X140" s="642">
        <f t="shared" si="81"/>
        <v>14.7</v>
      </c>
      <c r="Y140" s="642">
        <f t="shared" si="82"/>
        <v>16.7</v>
      </c>
      <c r="Z140" s="644">
        <f t="shared" si="83"/>
        <v>18.129686609686633</v>
      </c>
      <c r="AA140" s="684">
        <v>44540</v>
      </c>
      <c r="AB140" s="685">
        <v>0.3</v>
      </c>
      <c r="AC140" s="636">
        <f t="shared" si="84"/>
        <v>19.7</v>
      </c>
      <c r="AD140" s="636">
        <f t="shared" si="85"/>
        <v>21.7</v>
      </c>
      <c r="AE140" s="637">
        <f t="shared" si="86"/>
        <v>23.129686609686633</v>
      </c>
    </row>
    <row r="141" spans="2:31" x14ac:dyDescent="0.2">
      <c r="B141" s="691">
        <v>44388</v>
      </c>
      <c r="C141" s="687">
        <v>22.4</v>
      </c>
      <c r="D141" s="642">
        <f t="shared" si="69"/>
        <v>0</v>
      </c>
      <c r="E141" s="642">
        <f t="shared" si="70"/>
        <v>0</v>
      </c>
      <c r="F141" s="644">
        <f t="shared" si="71"/>
        <v>0</v>
      </c>
      <c r="G141" s="684">
        <v>44419</v>
      </c>
      <c r="H141" s="685">
        <v>23.7</v>
      </c>
      <c r="I141" s="636">
        <f t="shared" si="72"/>
        <v>0</v>
      </c>
      <c r="J141" s="636">
        <f t="shared" si="73"/>
        <v>0</v>
      </c>
      <c r="K141" s="637">
        <f t="shared" si="74"/>
        <v>0</v>
      </c>
      <c r="L141" s="691">
        <v>44450</v>
      </c>
      <c r="M141" s="687">
        <v>19.899999999999999</v>
      </c>
      <c r="N141" s="642">
        <f t="shared" si="75"/>
        <v>0</v>
      </c>
      <c r="O141" s="642">
        <f t="shared" si="76"/>
        <v>0</v>
      </c>
      <c r="P141" s="644">
        <f t="shared" si="77"/>
        <v>0</v>
      </c>
      <c r="Q141" s="684">
        <v>44480</v>
      </c>
      <c r="R141" s="685">
        <v>8.6</v>
      </c>
      <c r="S141" s="636">
        <f t="shared" si="78"/>
        <v>11.4</v>
      </c>
      <c r="T141" s="636">
        <f t="shared" si="79"/>
        <v>13.4</v>
      </c>
      <c r="U141" s="637">
        <f t="shared" si="80"/>
        <v>14.829686609686634</v>
      </c>
      <c r="V141" s="691">
        <v>44511</v>
      </c>
      <c r="W141" s="687">
        <v>4.5999999999999996</v>
      </c>
      <c r="X141" s="642">
        <f t="shared" si="81"/>
        <v>15.4</v>
      </c>
      <c r="Y141" s="642">
        <f t="shared" si="82"/>
        <v>17.399999999999999</v>
      </c>
      <c r="Z141" s="644">
        <f t="shared" si="83"/>
        <v>18.829686609686632</v>
      </c>
      <c r="AA141" s="684">
        <v>44541</v>
      </c>
      <c r="AB141" s="685">
        <v>-0.2</v>
      </c>
      <c r="AC141" s="636">
        <f t="shared" si="84"/>
        <v>20.2</v>
      </c>
      <c r="AD141" s="636">
        <f t="shared" si="85"/>
        <v>22.2</v>
      </c>
      <c r="AE141" s="637">
        <f t="shared" si="86"/>
        <v>23.629686609686633</v>
      </c>
    </row>
    <row r="142" spans="2:31" x14ac:dyDescent="0.2">
      <c r="B142" s="691">
        <v>44389</v>
      </c>
      <c r="C142" s="687">
        <v>24.6</v>
      </c>
      <c r="D142" s="642">
        <f t="shared" si="69"/>
        <v>0</v>
      </c>
      <c r="E142" s="642">
        <f t="shared" si="70"/>
        <v>0</v>
      </c>
      <c r="F142" s="644">
        <f t="shared" si="71"/>
        <v>0</v>
      </c>
      <c r="G142" s="684">
        <v>44420</v>
      </c>
      <c r="H142" s="685">
        <v>25.2</v>
      </c>
      <c r="I142" s="636">
        <f t="shared" si="72"/>
        <v>0</v>
      </c>
      <c r="J142" s="636">
        <f t="shared" si="73"/>
        <v>0</v>
      </c>
      <c r="K142" s="637">
        <f t="shared" si="74"/>
        <v>0</v>
      </c>
      <c r="L142" s="691">
        <v>44451</v>
      </c>
      <c r="M142" s="687">
        <v>19.899999999999999</v>
      </c>
      <c r="N142" s="642">
        <f t="shared" si="75"/>
        <v>0</v>
      </c>
      <c r="O142" s="642">
        <f t="shared" si="76"/>
        <v>0</v>
      </c>
      <c r="P142" s="644">
        <f t="shared" si="77"/>
        <v>0</v>
      </c>
      <c r="Q142" s="684">
        <v>44481</v>
      </c>
      <c r="R142" s="685">
        <v>7.2</v>
      </c>
      <c r="S142" s="636">
        <f t="shared" si="78"/>
        <v>12.8</v>
      </c>
      <c r="T142" s="636">
        <f t="shared" si="79"/>
        <v>14.8</v>
      </c>
      <c r="U142" s="637">
        <f t="shared" si="80"/>
        <v>16.229686609686635</v>
      </c>
      <c r="V142" s="691">
        <v>44512</v>
      </c>
      <c r="W142" s="687">
        <v>5.5</v>
      </c>
      <c r="X142" s="642">
        <f t="shared" si="81"/>
        <v>14.5</v>
      </c>
      <c r="Y142" s="642">
        <f t="shared" si="82"/>
        <v>16.5</v>
      </c>
      <c r="Z142" s="644">
        <f t="shared" si="83"/>
        <v>17.929686609686634</v>
      </c>
      <c r="AA142" s="684">
        <v>44542</v>
      </c>
      <c r="AB142" s="685">
        <v>-2</v>
      </c>
      <c r="AC142" s="636">
        <f t="shared" si="84"/>
        <v>22</v>
      </c>
      <c r="AD142" s="636">
        <f t="shared" si="85"/>
        <v>24</v>
      </c>
      <c r="AE142" s="637">
        <f t="shared" si="86"/>
        <v>25.429686609686634</v>
      </c>
    </row>
    <row r="143" spans="2:31" x14ac:dyDescent="0.2">
      <c r="B143" s="691">
        <v>44390</v>
      </c>
      <c r="C143" s="687">
        <v>24.7</v>
      </c>
      <c r="D143" s="642">
        <f t="shared" si="69"/>
        <v>0</v>
      </c>
      <c r="E143" s="642">
        <f t="shared" si="70"/>
        <v>0</v>
      </c>
      <c r="F143" s="644">
        <f t="shared" si="71"/>
        <v>0</v>
      </c>
      <c r="G143" s="684">
        <v>44421</v>
      </c>
      <c r="H143" s="685">
        <v>26.7</v>
      </c>
      <c r="I143" s="636">
        <f t="shared" si="72"/>
        <v>0</v>
      </c>
      <c r="J143" s="636">
        <f t="shared" si="73"/>
        <v>0</v>
      </c>
      <c r="K143" s="637">
        <f t="shared" si="74"/>
        <v>0</v>
      </c>
      <c r="L143" s="691">
        <v>44452</v>
      </c>
      <c r="M143" s="687">
        <v>20.3</v>
      </c>
      <c r="N143" s="642">
        <f t="shared" si="75"/>
        <v>0</v>
      </c>
      <c r="O143" s="642">
        <f t="shared" si="76"/>
        <v>0</v>
      </c>
      <c r="P143" s="644">
        <f t="shared" si="77"/>
        <v>0</v>
      </c>
      <c r="Q143" s="684">
        <v>44482</v>
      </c>
      <c r="R143" s="685">
        <v>7.9</v>
      </c>
      <c r="S143" s="636">
        <f t="shared" si="78"/>
        <v>12.1</v>
      </c>
      <c r="T143" s="636">
        <f t="shared" si="79"/>
        <v>14.1</v>
      </c>
      <c r="U143" s="637">
        <f t="shared" si="80"/>
        <v>15.529686609686634</v>
      </c>
      <c r="V143" s="691">
        <v>44513</v>
      </c>
      <c r="W143" s="687">
        <v>9.1</v>
      </c>
      <c r="X143" s="642">
        <f t="shared" si="81"/>
        <v>10.9</v>
      </c>
      <c r="Y143" s="642">
        <f t="shared" si="82"/>
        <v>12.9</v>
      </c>
      <c r="Z143" s="644">
        <f t="shared" si="83"/>
        <v>14.329686609686634</v>
      </c>
      <c r="AA143" s="684">
        <v>44543</v>
      </c>
      <c r="AB143" s="685">
        <v>-0.1</v>
      </c>
      <c r="AC143" s="636">
        <f t="shared" si="84"/>
        <v>20.100000000000001</v>
      </c>
      <c r="AD143" s="636">
        <f t="shared" si="85"/>
        <v>22.1</v>
      </c>
      <c r="AE143" s="637">
        <f t="shared" si="86"/>
        <v>23.529686609686635</v>
      </c>
    </row>
    <row r="144" spans="2:31" x14ac:dyDescent="0.2">
      <c r="B144" s="691">
        <v>44391</v>
      </c>
      <c r="C144" s="687">
        <v>22.1</v>
      </c>
      <c r="D144" s="642">
        <f t="shared" si="69"/>
        <v>0</v>
      </c>
      <c r="E144" s="642">
        <f t="shared" si="70"/>
        <v>0</v>
      </c>
      <c r="F144" s="644">
        <f t="shared" si="71"/>
        <v>0</v>
      </c>
      <c r="G144" s="684">
        <v>44422</v>
      </c>
      <c r="H144" s="685">
        <v>26.9</v>
      </c>
      <c r="I144" s="636">
        <f t="shared" si="72"/>
        <v>0</v>
      </c>
      <c r="J144" s="636">
        <f t="shared" si="73"/>
        <v>0</v>
      </c>
      <c r="K144" s="637">
        <f t="shared" si="74"/>
        <v>0</v>
      </c>
      <c r="L144" s="691">
        <v>44453</v>
      </c>
      <c r="M144" s="687">
        <v>21</v>
      </c>
      <c r="N144" s="642">
        <f t="shared" si="75"/>
        <v>0</v>
      </c>
      <c r="O144" s="642">
        <f t="shared" si="76"/>
        <v>0</v>
      </c>
      <c r="P144" s="644">
        <f t="shared" si="77"/>
        <v>0</v>
      </c>
      <c r="Q144" s="684">
        <v>44483</v>
      </c>
      <c r="R144" s="685">
        <v>7.8</v>
      </c>
      <c r="S144" s="636">
        <f t="shared" si="78"/>
        <v>12.2</v>
      </c>
      <c r="T144" s="636">
        <f t="shared" si="79"/>
        <v>14.2</v>
      </c>
      <c r="U144" s="637">
        <f t="shared" si="80"/>
        <v>15.629686609686633</v>
      </c>
      <c r="V144" s="691">
        <v>44514</v>
      </c>
      <c r="W144" s="687">
        <v>7.5</v>
      </c>
      <c r="X144" s="642">
        <f t="shared" si="81"/>
        <v>12.5</v>
      </c>
      <c r="Y144" s="642">
        <f t="shared" si="82"/>
        <v>14.5</v>
      </c>
      <c r="Z144" s="644">
        <f t="shared" si="83"/>
        <v>15.929686609686634</v>
      </c>
      <c r="AA144" s="684">
        <v>44544</v>
      </c>
      <c r="AB144" s="685">
        <v>0.3</v>
      </c>
      <c r="AC144" s="636">
        <f t="shared" si="84"/>
        <v>19.7</v>
      </c>
      <c r="AD144" s="636">
        <f t="shared" si="85"/>
        <v>21.7</v>
      </c>
      <c r="AE144" s="637">
        <f t="shared" si="86"/>
        <v>23.129686609686633</v>
      </c>
    </row>
    <row r="145" spans="2:31" x14ac:dyDescent="0.2">
      <c r="B145" s="691">
        <v>44392</v>
      </c>
      <c r="C145" s="687">
        <v>21.9</v>
      </c>
      <c r="D145" s="642">
        <f t="shared" si="69"/>
        <v>0</v>
      </c>
      <c r="E145" s="642">
        <f t="shared" si="70"/>
        <v>0</v>
      </c>
      <c r="F145" s="644">
        <f t="shared" si="71"/>
        <v>0</v>
      </c>
      <c r="G145" s="684">
        <v>44423</v>
      </c>
      <c r="H145" s="685">
        <v>27.1</v>
      </c>
      <c r="I145" s="636">
        <f t="shared" si="72"/>
        <v>0</v>
      </c>
      <c r="J145" s="636">
        <f t="shared" si="73"/>
        <v>0</v>
      </c>
      <c r="K145" s="637">
        <f t="shared" si="74"/>
        <v>0</v>
      </c>
      <c r="L145" s="691">
        <v>44454</v>
      </c>
      <c r="M145" s="687">
        <v>21.8</v>
      </c>
      <c r="N145" s="642">
        <f t="shared" si="75"/>
        <v>0</v>
      </c>
      <c r="O145" s="642">
        <f t="shared" si="76"/>
        <v>0</v>
      </c>
      <c r="P145" s="644">
        <f t="shared" si="77"/>
        <v>0</v>
      </c>
      <c r="Q145" s="684">
        <v>44484</v>
      </c>
      <c r="R145" s="685">
        <v>8.1999999999999993</v>
      </c>
      <c r="S145" s="636">
        <f t="shared" si="78"/>
        <v>11.8</v>
      </c>
      <c r="T145" s="636">
        <f t="shared" si="79"/>
        <v>13.8</v>
      </c>
      <c r="U145" s="637">
        <f t="shared" si="80"/>
        <v>15.229686609686635</v>
      </c>
      <c r="V145" s="691">
        <v>44515</v>
      </c>
      <c r="W145" s="687">
        <v>7.9</v>
      </c>
      <c r="X145" s="642">
        <f t="shared" si="81"/>
        <v>12.1</v>
      </c>
      <c r="Y145" s="642">
        <f t="shared" si="82"/>
        <v>14.1</v>
      </c>
      <c r="Z145" s="644">
        <f t="shared" si="83"/>
        <v>15.529686609686634</v>
      </c>
      <c r="AA145" s="684">
        <v>44545</v>
      </c>
      <c r="AB145" s="685">
        <v>1.9</v>
      </c>
      <c r="AC145" s="636">
        <f t="shared" si="84"/>
        <v>18.100000000000001</v>
      </c>
      <c r="AD145" s="636">
        <f t="shared" si="85"/>
        <v>20.100000000000001</v>
      </c>
      <c r="AE145" s="637">
        <f t="shared" si="86"/>
        <v>21.529686609686635</v>
      </c>
    </row>
    <row r="146" spans="2:31" x14ac:dyDescent="0.2">
      <c r="B146" s="691">
        <v>44393</v>
      </c>
      <c r="C146" s="687">
        <v>20</v>
      </c>
      <c r="D146" s="642">
        <f t="shared" si="69"/>
        <v>0</v>
      </c>
      <c r="E146" s="642">
        <f t="shared" si="70"/>
        <v>0</v>
      </c>
      <c r="F146" s="644">
        <f t="shared" si="71"/>
        <v>0</v>
      </c>
      <c r="G146" s="684">
        <v>44424</v>
      </c>
      <c r="H146" s="685">
        <v>26.9</v>
      </c>
      <c r="I146" s="636">
        <f t="shared" si="72"/>
        <v>0</v>
      </c>
      <c r="J146" s="636">
        <f t="shared" si="73"/>
        <v>0</v>
      </c>
      <c r="K146" s="637">
        <f t="shared" si="74"/>
        <v>0</v>
      </c>
      <c r="L146" s="691">
        <v>44455</v>
      </c>
      <c r="M146" s="687">
        <v>20</v>
      </c>
      <c r="N146" s="642">
        <f t="shared" si="75"/>
        <v>0</v>
      </c>
      <c r="O146" s="642">
        <f t="shared" si="76"/>
        <v>0</v>
      </c>
      <c r="P146" s="644">
        <f t="shared" si="77"/>
        <v>0</v>
      </c>
      <c r="Q146" s="684">
        <v>44485</v>
      </c>
      <c r="R146" s="685">
        <v>9</v>
      </c>
      <c r="S146" s="636">
        <f t="shared" si="78"/>
        <v>11</v>
      </c>
      <c r="T146" s="636">
        <f t="shared" si="79"/>
        <v>13</v>
      </c>
      <c r="U146" s="637">
        <f t="shared" si="80"/>
        <v>14.429686609686634</v>
      </c>
      <c r="V146" s="691">
        <v>44516</v>
      </c>
      <c r="W146" s="687">
        <v>6.9</v>
      </c>
      <c r="X146" s="642">
        <f t="shared" si="81"/>
        <v>13.1</v>
      </c>
      <c r="Y146" s="642">
        <f t="shared" si="82"/>
        <v>15.1</v>
      </c>
      <c r="Z146" s="644">
        <f t="shared" si="83"/>
        <v>16.529686609686635</v>
      </c>
      <c r="AA146" s="684">
        <v>44546</v>
      </c>
      <c r="AB146" s="685">
        <v>1.4</v>
      </c>
      <c r="AC146" s="636">
        <f t="shared" si="84"/>
        <v>18.600000000000001</v>
      </c>
      <c r="AD146" s="636">
        <f t="shared" si="85"/>
        <v>20.6</v>
      </c>
      <c r="AE146" s="637">
        <f t="shared" si="86"/>
        <v>22.029686609686635</v>
      </c>
    </row>
    <row r="147" spans="2:31" x14ac:dyDescent="0.2">
      <c r="B147" s="691">
        <v>44394</v>
      </c>
      <c r="C147" s="687">
        <v>20.100000000000001</v>
      </c>
      <c r="D147" s="642">
        <f t="shared" si="69"/>
        <v>0</v>
      </c>
      <c r="E147" s="642">
        <f t="shared" si="70"/>
        <v>0</v>
      </c>
      <c r="F147" s="644">
        <f t="shared" si="71"/>
        <v>0</v>
      </c>
      <c r="G147" s="684">
        <v>44425</v>
      </c>
      <c r="H147" s="685">
        <v>19.100000000000001</v>
      </c>
      <c r="I147" s="636">
        <f t="shared" si="72"/>
        <v>0</v>
      </c>
      <c r="J147" s="636">
        <f t="shared" si="73"/>
        <v>0</v>
      </c>
      <c r="K147" s="637">
        <f t="shared" si="74"/>
        <v>0</v>
      </c>
      <c r="L147" s="691">
        <v>44456</v>
      </c>
      <c r="M147" s="687">
        <v>16.600000000000001</v>
      </c>
      <c r="N147" s="642">
        <f t="shared" si="75"/>
        <v>0</v>
      </c>
      <c r="O147" s="642">
        <f t="shared" si="76"/>
        <v>0</v>
      </c>
      <c r="P147" s="644">
        <f t="shared" si="77"/>
        <v>0</v>
      </c>
      <c r="Q147" s="684">
        <v>44486</v>
      </c>
      <c r="R147" s="685">
        <v>8.9</v>
      </c>
      <c r="S147" s="636">
        <f t="shared" si="78"/>
        <v>11.1</v>
      </c>
      <c r="T147" s="636">
        <f t="shared" si="79"/>
        <v>13.1</v>
      </c>
      <c r="U147" s="637">
        <f t="shared" si="80"/>
        <v>14.529686609686634</v>
      </c>
      <c r="V147" s="691">
        <v>44517</v>
      </c>
      <c r="W147" s="687">
        <v>7.6</v>
      </c>
      <c r="X147" s="642">
        <f t="shared" si="81"/>
        <v>12.4</v>
      </c>
      <c r="Y147" s="642">
        <f t="shared" si="82"/>
        <v>14.4</v>
      </c>
      <c r="Z147" s="644">
        <f t="shared" si="83"/>
        <v>15.829686609686634</v>
      </c>
      <c r="AA147" s="684">
        <v>44547</v>
      </c>
      <c r="AB147" s="685">
        <v>-0.4</v>
      </c>
      <c r="AC147" s="636">
        <f t="shared" si="84"/>
        <v>20.399999999999999</v>
      </c>
      <c r="AD147" s="636">
        <f t="shared" si="85"/>
        <v>22.4</v>
      </c>
      <c r="AE147" s="637">
        <f t="shared" si="86"/>
        <v>23.829686609686632</v>
      </c>
    </row>
    <row r="148" spans="2:31" x14ac:dyDescent="0.2">
      <c r="B148" s="691">
        <v>44395</v>
      </c>
      <c r="C148" s="687">
        <v>19.3</v>
      </c>
      <c r="D148" s="642">
        <f t="shared" si="69"/>
        <v>0</v>
      </c>
      <c r="E148" s="642">
        <f t="shared" si="70"/>
        <v>0</v>
      </c>
      <c r="F148" s="644">
        <f t="shared" si="71"/>
        <v>0</v>
      </c>
      <c r="G148" s="684">
        <v>44426</v>
      </c>
      <c r="H148" s="685">
        <v>20</v>
      </c>
      <c r="I148" s="636">
        <f t="shared" si="72"/>
        <v>0</v>
      </c>
      <c r="J148" s="636">
        <f t="shared" si="73"/>
        <v>0</v>
      </c>
      <c r="K148" s="637">
        <f t="shared" si="74"/>
        <v>0</v>
      </c>
      <c r="L148" s="691">
        <v>44457</v>
      </c>
      <c r="M148" s="687">
        <v>16.399999999999999</v>
      </c>
      <c r="N148" s="642">
        <f t="shared" si="75"/>
        <v>0</v>
      </c>
      <c r="O148" s="642">
        <f t="shared" si="76"/>
        <v>0</v>
      </c>
      <c r="P148" s="644">
        <f t="shared" si="77"/>
        <v>0</v>
      </c>
      <c r="Q148" s="684">
        <v>44487</v>
      </c>
      <c r="R148" s="685">
        <v>8.6999999999999993</v>
      </c>
      <c r="S148" s="636">
        <f t="shared" si="78"/>
        <v>11.3</v>
      </c>
      <c r="T148" s="636">
        <f t="shared" si="79"/>
        <v>13.3</v>
      </c>
      <c r="U148" s="637">
        <f t="shared" si="80"/>
        <v>14.729686609686635</v>
      </c>
      <c r="V148" s="691">
        <v>44518</v>
      </c>
      <c r="W148" s="687">
        <v>7</v>
      </c>
      <c r="X148" s="642">
        <f t="shared" si="81"/>
        <v>13</v>
      </c>
      <c r="Y148" s="642">
        <f t="shared" si="82"/>
        <v>15</v>
      </c>
      <c r="Z148" s="644">
        <f t="shared" si="83"/>
        <v>16.429686609686634</v>
      </c>
      <c r="AA148" s="684">
        <v>44548</v>
      </c>
      <c r="AB148" s="685">
        <v>-0.5</v>
      </c>
      <c r="AC148" s="636">
        <f t="shared" si="84"/>
        <v>20.5</v>
      </c>
      <c r="AD148" s="636">
        <f t="shared" si="85"/>
        <v>22.5</v>
      </c>
      <c r="AE148" s="637">
        <f t="shared" si="86"/>
        <v>23.929686609686634</v>
      </c>
    </row>
    <row r="149" spans="2:31" x14ac:dyDescent="0.2">
      <c r="B149" s="691">
        <v>44396</v>
      </c>
      <c r="C149" s="687">
        <v>23.6</v>
      </c>
      <c r="D149" s="642">
        <f t="shared" si="69"/>
        <v>0</v>
      </c>
      <c r="E149" s="642">
        <f t="shared" si="70"/>
        <v>0</v>
      </c>
      <c r="F149" s="644">
        <f t="shared" si="71"/>
        <v>0</v>
      </c>
      <c r="G149" s="684">
        <v>44427</v>
      </c>
      <c r="H149" s="685">
        <v>21.3</v>
      </c>
      <c r="I149" s="636">
        <f t="shared" si="72"/>
        <v>0</v>
      </c>
      <c r="J149" s="636">
        <f t="shared" si="73"/>
        <v>0</v>
      </c>
      <c r="K149" s="637">
        <f t="shared" si="74"/>
        <v>0</v>
      </c>
      <c r="L149" s="691">
        <v>44458</v>
      </c>
      <c r="M149" s="687">
        <v>15.7</v>
      </c>
      <c r="N149" s="642">
        <f t="shared" si="75"/>
        <v>0</v>
      </c>
      <c r="O149" s="642">
        <f t="shared" si="76"/>
        <v>0</v>
      </c>
      <c r="P149" s="644">
        <f t="shared" si="77"/>
        <v>0</v>
      </c>
      <c r="Q149" s="684">
        <v>44488</v>
      </c>
      <c r="R149" s="685">
        <v>9.9</v>
      </c>
      <c r="S149" s="636">
        <f t="shared" si="78"/>
        <v>10.1</v>
      </c>
      <c r="T149" s="636">
        <f t="shared" si="79"/>
        <v>12.1</v>
      </c>
      <c r="U149" s="637">
        <f t="shared" si="80"/>
        <v>13.529686609686634</v>
      </c>
      <c r="V149" s="691">
        <v>44519</v>
      </c>
      <c r="W149" s="687">
        <v>4.5</v>
      </c>
      <c r="X149" s="642">
        <f t="shared" si="81"/>
        <v>15.5</v>
      </c>
      <c r="Y149" s="642">
        <f t="shared" si="82"/>
        <v>17.5</v>
      </c>
      <c r="Z149" s="644">
        <f t="shared" si="83"/>
        <v>18.929686609686634</v>
      </c>
      <c r="AA149" s="684">
        <v>44549</v>
      </c>
      <c r="AB149" s="685">
        <v>-1.8</v>
      </c>
      <c r="AC149" s="636">
        <f t="shared" si="84"/>
        <v>21.8</v>
      </c>
      <c r="AD149" s="636">
        <f t="shared" si="85"/>
        <v>23.8</v>
      </c>
      <c r="AE149" s="637">
        <f t="shared" si="86"/>
        <v>25.229686609686635</v>
      </c>
    </row>
    <row r="150" spans="2:31" x14ac:dyDescent="0.2">
      <c r="B150" s="691">
        <v>44397</v>
      </c>
      <c r="C150" s="687">
        <v>22.7</v>
      </c>
      <c r="D150" s="642">
        <f t="shared" si="69"/>
        <v>0</v>
      </c>
      <c r="E150" s="642">
        <f t="shared" si="70"/>
        <v>0</v>
      </c>
      <c r="F150" s="644">
        <f t="shared" si="71"/>
        <v>0</v>
      </c>
      <c r="G150" s="684">
        <v>44428</v>
      </c>
      <c r="H150" s="685">
        <v>21.3</v>
      </c>
      <c r="I150" s="636">
        <f t="shared" si="72"/>
        <v>0</v>
      </c>
      <c r="J150" s="636">
        <f t="shared" si="73"/>
        <v>0</v>
      </c>
      <c r="K150" s="637">
        <f t="shared" si="74"/>
        <v>0</v>
      </c>
      <c r="L150" s="691">
        <v>44459</v>
      </c>
      <c r="M150" s="687">
        <v>12.4</v>
      </c>
      <c r="N150" s="642">
        <f t="shared" si="75"/>
        <v>0</v>
      </c>
      <c r="O150" s="642">
        <f t="shared" si="76"/>
        <v>0</v>
      </c>
      <c r="P150" s="644">
        <f t="shared" si="77"/>
        <v>0</v>
      </c>
      <c r="Q150" s="684">
        <v>44489</v>
      </c>
      <c r="R150" s="685">
        <v>13.5</v>
      </c>
      <c r="S150" s="636">
        <f t="shared" si="78"/>
        <v>0</v>
      </c>
      <c r="T150" s="636">
        <f t="shared" si="79"/>
        <v>0</v>
      </c>
      <c r="U150" s="637">
        <f t="shared" si="80"/>
        <v>0</v>
      </c>
      <c r="V150" s="691">
        <v>44520</v>
      </c>
      <c r="W150" s="687">
        <v>3.7</v>
      </c>
      <c r="X150" s="642">
        <f t="shared" si="81"/>
        <v>16.3</v>
      </c>
      <c r="Y150" s="642">
        <f t="shared" si="82"/>
        <v>18.3</v>
      </c>
      <c r="Z150" s="644">
        <f t="shared" si="83"/>
        <v>19.729686609686635</v>
      </c>
      <c r="AA150" s="684">
        <v>44550</v>
      </c>
      <c r="AB150" s="685">
        <v>-1.2</v>
      </c>
      <c r="AC150" s="636">
        <f t="shared" si="84"/>
        <v>21.2</v>
      </c>
      <c r="AD150" s="636">
        <f t="shared" si="85"/>
        <v>23.2</v>
      </c>
      <c r="AE150" s="637">
        <f t="shared" si="86"/>
        <v>24.629686609686633</v>
      </c>
    </row>
    <row r="151" spans="2:31" x14ac:dyDescent="0.2">
      <c r="B151" s="691">
        <v>44398</v>
      </c>
      <c r="C151" s="687">
        <v>22.4</v>
      </c>
      <c r="D151" s="642">
        <f t="shared" si="69"/>
        <v>0</v>
      </c>
      <c r="E151" s="642">
        <f t="shared" si="70"/>
        <v>0</v>
      </c>
      <c r="F151" s="644">
        <f t="shared" si="71"/>
        <v>0</v>
      </c>
      <c r="G151" s="684">
        <v>44429</v>
      </c>
      <c r="H151" s="685">
        <v>23</v>
      </c>
      <c r="I151" s="636">
        <f t="shared" si="72"/>
        <v>0</v>
      </c>
      <c r="J151" s="636">
        <f t="shared" si="73"/>
        <v>0</v>
      </c>
      <c r="K151" s="637">
        <f t="shared" si="74"/>
        <v>0</v>
      </c>
      <c r="L151" s="691">
        <v>44460</v>
      </c>
      <c r="M151" s="687">
        <v>13.8</v>
      </c>
      <c r="N151" s="642">
        <f t="shared" si="75"/>
        <v>0</v>
      </c>
      <c r="O151" s="642">
        <f t="shared" si="76"/>
        <v>0</v>
      </c>
      <c r="P151" s="644">
        <f t="shared" si="77"/>
        <v>0</v>
      </c>
      <c r="Q151" s="684">
        <v>44490</v>
      </c>
      <c r="R151" s="685">
        <v>14.3</v>
      </c>
      <c r="S151" s="636">
        <f t="shared" si="78"/>
        <v>0</v>
      </c>
      <c r="T151" s="636">
        <f t="shared" si="79"/>
        <v>0</v>
      </c>
      <c r="U151" s="637">
        <f t="shared" si="80"/>
        <v>0</v>
      </c>
      <c r="V151" s="691">
        <v>44521</v>
      </c>
      <c r="W151" s="687">
        <v>5.9</v>
      </c>
      <c r="X151" s="642">
        <f t="shared" si="81"/>
        <v>14.1</v>
      </c>
      <c r="Y151" s="642">
        <f t="shared" si="82"/>
        <v>16.100000000000001</v>
      </c>
      <c r="Z151" s="644">
        <f t="shared" si="83"/>
        <v>17.529686609686635</v>
      </c>
      <c r="AA151" s="684">
        <v>44551</v>
      </c>
      <c r="AB151" s="685">
        <v>-0.7</v>
      </c>
      <c r="AC151" s="636">
        <f t="shared" si="84"/>
        <v>20.7</v>
      </c>
      <c r="AD151" s="636">
        <f t="shared" si="85"/>
        <v>22.7</v>
      </c>
      <c r="AE151" s="637">
        <f t="shared" si="86"/>
        <v>24.129686609686633</v>
      </c>
    </row>
    <row r="152" spans="2:31" x14ac:dyDescent="0.2">
      <c r="B152" s="691">
        <v>44399</v>
      </c>
      <c r="C152" s="687">
        <v>23.3</v>
      </c>
      <c r="D152" s="642">
        <f t="shared" si="69"/>
        <v>0</v>
      </c>
      <c r="E152" s="642">
        <f t="shared" si="70"/>
        <v>0</v>
      </c>
      <c r="F152" s="644">
        <f t="shared" si="71"/>
        <v>0</v>
      </c>
      <c r="G152" s="684">
        <v>44430</v>
      </c>
      <c r="H152" s="685">
        <v>23.9</v>
      </c>
      <c r="I152" s="636">
        <f t="shared" si="72"/>
        <v>0</v>
      </c>
      <c r="J152" s="636">
        <f t="shared" si="73"/>
        <v>0</v>
      </c>
      <c r="K152" s="637">
        <f t="shared" si="74"/>
        <v>0</v>
      </c>
      <c r="L152" s="691">
        <v>44461</v>
      </c>
      <c r="M152" s="687">
        <v>13</v>
      </c>
      <c r="N152" s="642">
        <f t="shared" si="75"/>
        <v>0</v>
      </c>
      <c r="O152" s="642">
        <f t="shared" si="76"/>
        <v>0</v>
      </c>
      <c r="P152" s="644">
        <f t="shared" si="77"/>
        <v>0</v>
      </c>
      <c r="Q152" s="684">
        <v>44491</v>
      </c>
      <c r="R152" s="685">
        <v>13.4</v>
      </c>
      <c r="S152" s="636">
        <f t="shared" si="78"/>
        <v>0</v>
      </c>
      <c r="T152" s="636">
        <f t="shared" si="79"/>
        <v>0</v>
      </c>
      <c r="U152" s="637">
        <f t="shared" si="80"/>
        <v>0</v>
      </c>
      <c r="V152" s="691">
        <v>44522</v>
      </c>
      <c r="W152" s="687">
        <v>5.6</v>
      </c>
      <c r="X152" s="642">
        <f t="shared" si="81"/>
        <v>14.4</v>
      </c>
      <c r="Y152" s="642">
        <f t="shared" si="82"/>
        <v>16.399999999999999</v>
      </c>
      <c r="Z152" s="644">
        <f t="shared" si="83"/>
        <v>17.829686609686632</v>
      </c>
      <c r="AA152" s="684">
        <v>44552</v>
      </c>
      <c r="AB152" s="685">
        <v>0.4</v>
      </c>
      <c r="AC152" s="636">
        <f t="shared" si="84"/>
        <v>19.600000000000001</v>
      </c>
      <c r="AD152" s="636">
        <f t="shared" si="85"/>
        <v>21.6</v>
      </c>
      <c r="AE152" s="637">
        <f t="shared" si="86"/>
        <v>23.029686609686635</v>
      </c>
    </row>
    <row r="153" spans="2:31" x14ac:dyDescent="0.2">
      <c r="B153" s="691">
        <v>44400</v>
      </c>
      <c r="C153" s="687">
        <v>23.5</v>
      </c>
      <c r="D153" s="642">
        <f t="shared" si="69"/>
        <v>0</v>
      </c>
      <c r="E153" s="642">
        <f t="shared" si="70"/>
        <v>0</v>
      </c>
      <c r="F153" s="644">
        <f t="shared" si="71"/>
        <v>0</v>
      </c>
      <c r="G153" s="684">
        <v>44431</v>
      </c>
      <c r="H153" s="685">
        <v>16.100000000000001</v>
      </c>
      <c r="I153" s="636">
        <f t="shared" si="72"/>
        <v>0</v>
      </c>
      <c r="J153" s="636">
        <f t="shared" si="73"/>
        <v>0</v>
      </c>
      <c r="K153" s="637">
        <f t="shared" si="74"/>
        <v>0</v>
      </c>
      <c r="L153" s="691">
        <v>44462</v>
      </c>
      <c r="M153" s="687">
        <v>14.7</v>
      </c>
      <c r="N153" s="642">
        <f t="shared" si="75"/>
        <v>0</v>
      </c>
      <c r="O153" s="642">
        <f t="shared" si="76"/>
        <v>0</v>
      </c>
      <c r="P153" s="644">
        <f t="shared" si="77"/>
        <v>0</v>
      </c>
      <c r="Q153" s="684">
        <v>44492</v>
      </c>
      <c r="R153" s="685">
        <v>8.6999999999999993</v>
      </c>
      <c r="S153" s="636">
        <f t="shared" si="78"/>
        <v>11.3</v>
      </c>
      <c r="T153" s="636">
        <f t="shared" si="79"/>
        <v>13.3</v>
      </c>
      <c r="U153" s="637">
        <f t="shared" si="80"/>
        <v>14.729686609686635</v>
      </c>
      <c r="V153" s="691">
        <v>44523</v>
      </c>
      <c r="W153" s="687">
        <v>4.5999999999999996</v>
      </c>
      <c r="X153" s="642">
        <f t="shared" si="81"/>
        <v>15.4</v>
      </c>
      <c r="Y153" s="642">
        <f t="shared" si="82"/>
        <v>17.399999999999999</v>
      </c>
      <c r="Z153" s="644">
        <f t="shared" si="83"/>
        <v>18.829686609686632</v>
      </c>
      <c r="AA153" s="684">
        <v>44553</v>
      </c>
      <c r="AB153" s="685">
        <v>2</v>
      </c>
      <c r="AC153" s="636">
        <f t="shared" si="84"/>
        <v>18</v>
      </c>
      <c r="AD153" s="636">
        <f t="shared" si="85"/>
        <v>20</v>
      </c>
      <c r="AE153" s="637">
        <f t="shared" si="86"/>
        <v>21.429686609686634</v>
      </c>
    </row>
    <row r="154" spans="2:31" x14ac:dyDescent="0.2">
      <c r="B154" s="691">
        <v>44401</v>
      </c>
      <c r="C154" s="687">
        <v>25</v>
      </c>
      <c r="D154" s="642">
        <f t="shared" si="69"/>
        <v>0</v>
      </c>
      <c r="E154" s="642">
        <f t="shared" si="70"/>
        <v>0</v>
      </c>
      <c r="F154" s="644">
        <f t="shared" si="71"/>
        <v>0</v>
      </c>
      <c r="G154" s="684">
        <v>44432</v>
      </c>
      <c r="H154" s="685">
        <v>19.8</v>
      </c>
      <c r="I154" s="636">
        <f t="shared" si="72"/>
        <v>0</v>
      </c>
      <c r="J154" s="636">
        <f t="shared" si="73"/>
        <v>0</v>
      </c>
      <c r="K154" s="637">
        <f t="shared" si="74"/>
        <v>0</v>
      </c>
      <c r="L154" s="691">
        <v>44463</v>
      </c>
      <c r="M154" s="687">
        <v>15.6</v>
      </c>
      <c r="N154" s="642">
        <f t="shared" si="75"/>
        <v>0</v>
      </c>
      <c r="O154" s="642">
        <f t="shared" si="76"/>
        <v>0</v>
      </c>
      <c r="P154" s="644">
        <f t="shared" si="77"/>
        <v>0</v>
      </c>
      <c r="Q154" s="684">
        <v>44493</v>
      </c>
      <c r="R154" s="685">
        <v>6.7</v>
      </c>
      <c r="S154" s="636">
        <f t="shared" si="78"/>
        <v>13.3</v>
      </c>
      <c r="T154" s="636">
        <f t="shared" si="79"/>
        <v>15.3</v>
      </c>
      <c r="U154" s="637">
        <f t="shared" si="80"/>
        <v>16.729686609686635</v>
      </c>
      <c r="V154" s="691">
        <v>44524</v>
      </c>
      <c r="W154" s="687">
        <v>-0.1</v>
      </c>
      <c r="X154" s="642">
        <f t="shared" si="81"/>
        <v>20.100000000000001</v>
      </c>
      <c r="Y154" s="642">
        <f t="shared" si="82"/>
        <v>22.1</v>
      </c>
      <c r="Z154" s="644">
        <f t="shared" si="83"/>
        <v>23.529686609686635</v>
      </c>
      <c r="AA154" s="684">
        <v>44554</v>
      </c>
      <c r="AB154" s="685">
        <v>5.7</v>
      </c>
      <c r="AC154" s="636">
        <f t="shared" si="84"/>
        <v>14.3</v>
      </c>
      <c r="AD154" s="636">
        <f t="shared" si="85"/>
        <v>16.3</v>
      </c>
      <c r="AE154" s="637">
        <f t="shared" si="86"/>
        <v>17.729686609686635</v>
      </c>
    </row>
    <row r="155" spans="2:31" x14ac:dyDescent="0.2">
      <c r="B155" s="691">
        <v>44402</v>
      </c>
      <c r="C155" s="687">
        <v>26</v>
      </c>
      <c r="D155" s="642">
        <f t="shared" si="69"/>
        <v>0</v>
      </c>
      <c r="E155" s="642">
        <f t="shared" si="70"/>
        <v>0</v>
      </c>
      <c r="F155" s="644">
        <f t="shared" si="71"/>
        <v>0</v>
      </c>
      <c r="G155" s="684">
        <v>44433</v>
      </c>
      <c r="H155" s="685">
        <v>17.399999999999999</v>
      </c>
      <c r="I155" s="636">
        <f t="shared" si="72"/>
        <v>0</v>
      </c>
      <c r="J155" s="636">
        <f t="shared" si="73"/>
        <v>0</v>
      </c>
      <c r="K155" s="637">
        <f t="shared" si="74"/>
        <v>0</v>
      </c>
      <c r="L155" s="691">
        <v>44464</v>
      </c>
      <c r="M155" s="687">
        <v>16.7</v>
      </c>
      <c r="N155" s="642">
        <f t="shared" si="75"/>
        <v>0</v>
      </c>
      <c r="O155" s="642">
        <f t="shared" si="76"/>
        <v>0</v>
      </c>
      <c r="P155" s="644">
        <f t="shared" si="77"/>
        <v>0</v>
      </c>
      <c r="Q155" s="684">
        <v>44494</v>
      </c>
      <c r="R155" s="685">
        <v>5.5</v>
      </c>
      <c r="S155" s="636">
        <f t="shared" si="78"/>
        <v>14.5</v>
      </c>
      <c r="T155" s="636">
        <f t="shared" si="79"/>
        <v>16.5</v>
      </c>
      <c r="U155" s="637">
        <f t="shared" si="80"/>
        <v>17.929686609686634</v>
      </c>
      <c r="V155" s="691">
        <v>44525</v>
      </c>
      <c r="W155" s="687">
        <v>1.6</v>
      </c>
      <c r="X155" s="642">
        <f t="shared" si="81"/>
        <v>18.399999999999999</v>
      </c>
      <c r="Y155" s="642">
        <f t="shared" si="82"/>
        <v>20.399999999999999</v>
      </c>
      <c r="Z155" s="644">
        <f t="shared" si="83"/>
        <v>21.829686609686632</v>
      </c>
      <c r="AA155" s="684">
        <v>44555</v>
      </c>
      <c r="AB155" s="685">
        <v>5.5</v>
      </c>
      <c r="AC155" s="636">
        <f t="shared" si="84"/>
        <v>14.5</v>
      </c>
      <c r="AD155" s="636">
        <f t="shared" si="85"/>
        <v>16.5</v>
      </c>
      <c r="AE155" s="637">
        <f t="shared" si="86"/>
        <v>17.929686609686634</v>
      </c>
    </row>
    <row r="156" spans="2:31" x14ac:dyDescent="0.2">
      <c r="B156" s="691">
        <v>44403</v>
      </c>
      <c r="C156" s="687">
        <v>25.4</v>
      </c>
      <c r="D156" s="642">
        <f t="shared" si="69"/>
        <v>0</v>
      </c>
      <c r="E156" s="642">
        <f t="shared" si="70"/>
        <v>0</v>
      </c>
      <c r="F156" s="644">
        <f t="shared" si="71"/>
        <v>0</v>
      </c>
      <c r="G156" s="684">
        <v>44434</v>
      </c>
      <c r="H156" s="685">
        <v>16.8</v>
      </c>
      <c r="I156" s="636">
        <f t="shared" si="72"/>
        <v>0</v>
      </c>
      <c r="J156" s="636">
        <f t="shared" si="73"/>
        <v>0</v>
      </c>
      <c r="K156" s="637">
        <f t="shared" si="74"/>
        <v>0</v>
      </c>
      <c r="L156" s="691">
        <v>44465</v>
      </c>
      <c r="M156" s="687">
        <v>18.100000000000001</v>
      </c>
      <c r="N156" s="642">
        <f t="shared" si="75"/>
        <v>0</v>
      </c>
      <c r="O156" s="642">
        <f t="shared" si="76"/>
        <v>0</v>
      </c>
      <c r="P156" s="644">
        <f t="shared" si="77"/>
        <v>0</v>
      </c>
      <c r="Q156" s="684">
        <v>44495</v>
      </c>
      <c r="R156" s="685">
        <v>5</v>
      </c>
      <c r="S156" s="636">
        <f t="shared" si="78"/>
        <v>15</v>
      </c>
      <c r="T156" s="636">
        <f t="shared" si="79"/>
        <v>17</v>
      </c>
      <c r="U156" s="637">
        <f t="shared" si="80"/>
        <v>18.429686609686634</v>
      </c>
      <c r="V156" s="691">
        <v>44526</v>
      </c>
      <c r="W156" s="687">
        <v>3.3</v>
      </c>
      <c r="X156" s="642">
        <f t="shared" si="81"/>
        <v>16.7</v>
      </c>
      <c r="Y156" s="642">
        <f t="shared" si="82"/>
        <v>18.7</v>
      </c>
      <c r="Z156" s="644">
        <f t="shared" si="83"/>
        <v>20.129686609686633</v>
      </c>
      <c r="AA156" s="684">
        <v>44556</v>
      </c>
      <c r="AB156" s="685">
        <v>3</v>
      </c>
      <c r="AC156" s="636">
        <f t="shared" si="84"/>
        <v>17</v>
      </c>
      <c r="AD156" s="636">
        <f t="shared" si="85"/>
        <v>19</v>
      </c>
      <c r="AE156" s="637">
        <f t="shared" si="86"/>
        <v>20.429686609686634</v>
      </c>
    </row>
    <row r="157" spans="2:31" x14ac:dyDescent="0.2">
      <c r="B157" s="691">
        <v>44404</v>
      </c>
      <c r="C157" s="687">
        <v>23.5</v>
      </c>
      <c r="D157" s="642">
        <f t="shared" si="69"/>
        <v>0</v>
      </c>
      <c r="E157" s="642">
        <f t="shared" si="70"/>
        <v>0</v>
      </c>
      <c r="F157" s="644">
        <f t="shared" si="71"/>
        <v>0</v>
      </c>
      <c r="G157" s="684">
        <v>44435</v>
      </c>
      <c r="H157" s="685">
        <v>16.7</v>
      </c>
      <c r="I157" s="636">
        <f t="shared" si="72"/>
        <v>0</v>
      </c>
      <c r="J157" s="636">
        <f t="shared" si="73"/>
        <v>0</v>
      </c>
      <c r="K157" s="637">
        <f t="shared" si="74"/>
        <v>0</v>
      </c>
      <c r="L157" s="691">
        <v>44466</v>
      </c>
      <c r="M157" s="687">
        <v>18.5</v>
      </c>
      <c r="N157" s="642">
        <f t="shared" si="75"/>
        <v>0</v>
      </c>
      <c r="O157" s="642">
        <f t="shared" si="76"/>
        <v>0</v>
      </c>
      <c r="P157" s="644">
        <f t="shared" si="77"/>
        <v>0</v>
      </c>
      <c r="Q157" s="684">
        <v>44496</v>
      </c>
      <c r="R157" s="685">
        <v>6.8</v>
      </c>
      <c r="S157" s="636">
        <f t="shared" si="78"/>
        <v>13.2</v>
      </c>
      <c r="T157" s="636">
        <f t="shared" si="79"/>
        <v>15.2</v>
      </c>
      <c r="U157" s="637">
        <f t="shared" si="80"/>
        <v>16.629686609686633</v>
      </c>
      <c r="V157" s="691">
        <v>44527</v>
      </c>
      <c r="W157" s="687">
        <v>3</v>
      </c>
      <c r="X157" s="642">
        <f t="shared" si="81"/>
        <v>17</v>
      </c>
      <c r="Y157" s="642">
        <f t="shared" si="82"/>
        <v>19</v>
      </c>
      <c r="Z157" s="644">
        <f t="shared" si="83"/>
        <v>20.429686609686634</v>
      </c>
      <c r="AA157" s="684">
        <v>44557</v>
      </c>
      <c r="AB157" s="685">
        <v>3.2</v>
      </c>
      <c r="AC157" s="636">
        <f t="shared" si="84"/>
        <v>16.8</v>
      </c>
      <c r="AD157" s="636">
        <f t="shared" si="85"/>
        <v>18.8</v>
      </c>
      <c r="AE157" s="637">
        <f t="shared" si="86"/>
        <v>20.229686609686635</v>
      </c>
    </row>
    <row r="158" spans="2:31" x14ac:dyDescent="0.2">
      <c r="B158" s="691">
        <v>44405</v>
      </c>
      <c r="C158" s="687">
        <v>23.2</v>
      </c>
      <c r="D158" s="642">
        <f t="shared" si="69"/>
        <v>0</v>
      </c>
      <c r="E158" s="642">
        <f t="shared" si="70"/>
        <v>0</v>
      </c>
      <c r="F158" s="644">
        <f t="shared" si="71"/>
        <v>0</v>
      </c>
      <c r="G158" s="684">
        <v>44436</v>
      </c>
      <c r="H158" s="685">
        <v>15.3</v>
      </c>
      <c r="I158" s="636">
        <f t="shared" si="72"/>
        <v>0</v>
      </c>
      <c r="J158" s="636">
        <f t="shared" si="73"/>
        <v>0</v>
      </c>
      <c r="K158" s="637">
        <f t="shared" si="74"/>
        <v>0</v>
      </c>
      <c r="L158" s="691">
        <v>44467</v>
      </c>
      <c r="M158" s="687">
        <v>18.600000000000001</v>
      </c>
      <c r="N158" s="642">
        <f t="shared" si="75"/>
        <v>0</v>
      </c>
      <c r="O158" s="642">
        <f t="shared" si="76"/>
        <v>0</v>
      </c>
      <c r="P158" s="644">
        <f t="shared" si="77"/>
        <v>0</v>
      </c>
      <c r="Q158" s="684">
        <v>44497</v>
      </c>
      <c r="R158" s="685">
        <v>7.4</v>
      </c>
      <c r="S158" s="636">
        <f t="shared" si="78"/>
        <v>12.6</v>
      </c>
      <c r="T158" s="636">
        <f t="shared" si="79"/>
        <v>14.6</v>
      </c>
      <c r="U158" s="637">
        <f t="shared" si="80"/>
        <v>16.029686609686635</v>
      </c>
      <c r="V158" s="691">
        <v>44528</v>
      </c>
      <c r="W158" s="687">
        <v>3.8</v>
      </c>
      <c r="X158" s="642">
        <f t="shared" si="81"/>
        <v>16.2</v>
      </c>
      <c r="Y158" s="642">
        <f t="shared" si="82"/>
        <v>18.2</v>
      </c>
      <c r="Z158" s="644">
        <f t="shared" si="83"/>
        <v>19.629686609686633</v>
      </c>
      <c r="AA158" s="684">
        <v>44558</v>
      </c>
      <c r="AB158" s="685">
        <v>5.8</v>
      </c>
      <c r="AC158" s="636">
        <f t="shared" si="84"/>
        <v>14.2</v>
      </c>
      <c r="AD158" s="636">
        <f t="shared" si="85"/>
        <v>16.2</v>
      </c>
      <c r="AE158" s="637">
        <f t="shared" si="86"/>
        <v>17.629686609686633</v>
      </c>
    </row>
    <row r="159" spans="2:31" x14ac:dyDescent="0.2">
      <c r="B159" s="691">
        <v>44406</v>
      </c>
      <c r="C159" s="688">
        <v>24.8</v>
      </c>
      <c r="D159" s="642">
        <f t="shared" si="69"/>
        <v>0</v>
      </c>
      <c r="E159" s="642">
        <f t="shared" si="70"/>
        <v>0</v>
      </c>
      <c r="F159" s="644">
        <f t="shared" si="71"/>
        <v>0</v>
      </c>
      <c r="G159" s="684">
        <v>44437</v>
      </c>
      <c r="H159" s="685">
        <v>14.5</v>
      </c>
      <c r="I159" s="636">
        <f t="shared" si="72"/>
        <v>0</v>
      </c>
      <c r="J159" s="636">
        <f t="shared" si="73"/>
        <v>0</v>
      </c>
      <c r="K159" s="637">
        <f t="shared" si="74"/>
        <v>0</v>
      </c>
      <c r="L159" s="691">
        <v>44468</v>
      </c>
      <c r="M159" s="688">
        <v>17</v>
      </c>
      <c r="N159" s="642">
        <f t="shared" si="75"/>
        <v>0</v>
      </c>
      <c r="O159" s="642">
        <f t="shared" si="76"/>
        <v>0</v>
      </c>
      <c r="P159" s="644">
        <f t="shared" si="77"/>
        <v>0</v>
      </c>
      <c r="Q159" s="684">
        <v>44498</v>
      </c>
      <c r="R159" s="685">
        <v>4.5</v>
      </c>
      <c r="S159" s="636">
        <f t="shared" si="78"/>
        <v>15.5</v>
      </c>
      <c r="T159" s="636">
        <f t="shared" si="79"/>
        <v>17.5</v>
      </c>
      <c r="U159" s="637">
        <f t="shared" si="80"/>
        <v>18.929686609686634</v>
      </c>
      <c r="V159" s="691">
        <v>44529</v>
      </c>
      <c r="W159" s="688">
        <v>0.7</v>
      </c>
      <c r="X159" s="642">
        <f t="shared" si="81"/>
        <v>19.3</v>
      </c>
      <c r="Y159" s="642">
        <f t="shared" si="82"/>
        <v>21.3</v>
      </c>
      <c r="Z159" s="644">
        <f t="shared" si="83"/>
        <v>22.729686609686635</v>
      </c>
      <c r="AA159" s="684">
        <v>44559</v>
      </c>
      <c r="AB159" s="685">
        <v>2.7</v>
      </c>
      <c r="AC159" s="636">
        <f t="shared" si="84"/>
        <v>17.3</v>
      </c>
      <c r="AD159" s="636">
        <f t="shared" si="85"/>
        <v>19.3</v>
      </c>
      <c r="AE159" s="637">
        <f t="shared" si="86"/>
        <v>20.729686609686635</v>
      </c>
    </row>
    <row r="160" spans="2:31" x14ac:dyDescent="0.2">
      <c r="B160" s="691">
        <v>44407</v>
      </c>
      <c r="C160" s="688">
        <v>26.6</v>
      </c>
      <c r="D160" s="642">
        <f t="shared" si="69"/>
        <v>0</v>
      </c>
      <c r="E160" s="642">
        <f t="shared" si="70"/>
        <v>0</v>
      </c>
      <c r="F160" s="644">
        <f t="shared" si="71"/>
        <v>0</v>
      </c>
      <c r="G160" s="684">
        <v>44438</v>
      </c>
      <c r="H160" s="685">
        <v>16.7</v>
      </c>
      <c r="I160" s="636">
        <f t="shared" si="72"/>
        <v>0</v>
      </c>
      <c r="J160" s="636">
        <f t="shared" si="73"/>
        <v>0</v>
      </c>
      <c r="K160" s="637">
        <f t="shared" si="74"/>
        <v>0</v>
      </c>
      <c r="L160" s="691">
        <v>44469</v>
      </c>
      <c r="M160" s="688">
        <v>13.9</v>
      </c>
      <c r="N160" s="642">
        <f t="shared" si="75"/>
        <v>0</v>
      </c>
      <c r="O160" s="642">
        <f t="shared" si="76"/>
        <v>0</v>
      </c>
      <c r="P160" s="644">
        <f t="shared" si="77"/>
        <v>0</v>
      </c>
      <c r="Q160" s="684">
        <v>44499</v>
      </c>
      <c r="R160" s="685">
        <v>3.3</v>
      </c>
      <c r="S160" s="636">
        <f t="shared" si="78"/>
        <v>16.7</v>
      </c>
      <c r="T160" s="636">
        <f t="shared" si="79"/>
        <v>18.7</v>
      </c>
      <c r="U160" s="637">
        <f t="shared" si="80"/>
        <v>20.129686609686633</v>
      </c>
      <c r="V160" s="691">
        <v>44530</v>
      </c>
      <c r="W160" s="688">
        <v>2.5</v>
      </c>
      <c r="X160" s="642">
        <f t="shared" si="81"/>
        <v>17.5</v>
      </c>
      <c r="Y160" s="642">
        <f t="shared" si="82"/>
        <v>19.5</v>
      </c>
      <c r="Z160" s="644">
        <f t="shared" si="83"/>
        <v>20.929686609686634</v>
      </c>
      <c r="AA160" s="684">
        <v>44560</v>
      </c>
      <c r="AB160" s="685">
        <v>3.2</v>
      </c>
      <c r="AC160" s="636">
        <f t="shared" si="84"/>
        <v>16.8</v>
      </c>
      <c r="AD160" s="636">
        <f t="shared" si="85"/>
        <v>18.8</v>
      </c>
      <c r="AE160" s="637">
        <f t="shared" si="86"/>
        <v>20.229686609686635</v>
      </c>
    </row>
    <row r="161" spans="2:31" ht="13.5" thickBot="1" x14ac:dyDescent="0.25">
      <c r="B161" s="692">
        <v>44408</v>
      </c>
      <c r="C161" s="693">
        <v>24.3</v>
      </c>
      <c r="D161" s="680">
        <f t="shared" si="69"/>
        <v>0</v>
      </c>
      <c r="E161" s="680">
        <f t="shared" si="70"/>
        <v>0</v>
      </c>
      <c r="F161" s="681">
        <f t="shared" si="71"/>
        <v>0</v>
      </c>
      <c r="G161" s="689">
        <v>44439</v>
      </c>
      <c r="H161" s="690">
        <v>17.5</v>
      </c>
      <c r="I161" s="656">
        <f t="shared" si="72"/>
        <v>0</v>
      </c>
      <c r="J161" s="656">
        <f t="shared" si="73"/>
        <v>0</v>
      </c>
      <c r="K161" s="657">
        <f t="shared" si="74"/>
        <v>0</v>
      </c>
      <c r="L161" s="692"/>
      <c r="M161" s="693"/>
      <c r="N161" s="680">
        <f t="shared" si="75"/>
        <v>0</v>
      </c>
      <c r="O161" s="680">
        <f t="shared" si="76"/>
        <v>0</v>
      </c>
      <c r="P161" s="681">
        <f t="shared" si="77"/>
        <v>0</v>
      </c>
      <c r="Q161" s="689">
        <v>44500</v>
      </c>
      <c r="R161" s="690">
        <v>8.6999999999999993</v>
      </c>
      <c r="S161" s="656">
        <f t="shared" si="78"/>
        <v>11.3</v>
      </c>
      <c r="T161" s="656">
        <f t="shared" si="79"/>
        <v>13.3</v>
      </c>
      <c r="U161" s="657">
        <f t="shared" si="80"/>
        <v>14.729686609686635</v>
      </c>
      <c r="V161" s="692"/>
      <c r="W161" s="693"/>
      <c r="X161" s="680">
        <f t="shared" si="81"/>
        <v>0</v>
      </c>
      <c r="Y161" s="680">
        <f t="shared" si="82"/>
        <v>0</v>
      </c>
      <c r="Z161" s="681">
        <f t="shared" si="83"/>
        <v>0</v>
      </c>
      <c r="AA161" s="689">
        <v>44561</v>
      </c>
      <c r="AB161" s="690">
        <v>1.9</v>
      </c>
      <c r="AC161" s="656">
        <f t="shared" si="84"/>
        <v>18.100000000000001</v>
      </c>
      <c r="AD161" s="656">
        <f t="shared" si="85"/>
        <v>20.100000000000001</v>
      </c>
      <c r="AE161" s="657">
        <f t="shared" si="86"/>
        <v>21.529686609686635</v>
      </c>
    </row>
    <row r="162" spans="2:31" ht="13.5" thickBot="1" x14ac:dyDescent="0.25">
      <c r="B162" s="665" t="s">
        <v>364</v>
      </c>
      <c r="C162" s="666">
        <f>IF(COUNT(C131:C161) = 0, "ni podatkov",AVERAGE(C131:C161))</f>
        <v>23.322580645161292</v>
      </c>
      <c r="D162" s="667">
        <f>SUM(D131:D161)</f>
        <v>0</v>
      </c>
      <c r="E162" s="682"/>
      <c r="F162" s="682"/>
      <c r="G162" s="665" t="s">
        <v>364</v>
      </c>
      <c r="H162" s="666">
        <f>IF(COUNT(H131:H161) = 0, "ni podatkov",AVERAGE(H131:H161))</f>
        <v>21.038709677419352</v>
      </c>
      <c r="I162" s="667">
        <f>SUM(I131:I161)</f>
        <v>0</v>
      </c>
      <c r="J162" s="667">
        <f t="shared" ref="J162:K162" si="87">SUM(J131:J161)</f>
        <v>0</v>
      </c>
      <c r="K162" s="667">
        <f t="shared" si="87"/>
        <v>0</v>
      </c>
      <c r="L162" s="665" t="s">
        <v>364</v>
      </c>
      <c r="M162" s="666">
        <f>IF(COUNT(M131:M161) = 0, "ni podatkov",AVERAGE(M131:M161))</f>
        <v>17.543333333333337</v>
      </c>
      <c r="N162" s="667">
        <f>SUM(N131:N161)</f>
        <v>0</v>
      </c>
      <c r="O162" s="667">
        <f t="shared" ref="O162:P162" si="88">SUM(O131:O161)</f>
        <v>0</v>
      </c>
      <c r="P162" s="667">
        <f t="shared" si="88"/>
        <v>0</v>
      </c>
      <c r="Q162" s="665" t="s">
        <v>364</v>
      </c>
      <c r="R162" s="666">
        <f>IF(COUNT(R131:R161) = 0, "ni podatkov",AVERAGE(R131:R161))</f>
        <v>9.82258064516129</v>
      </c>
      <c r="S162" s="667">
        <f>SUM(S131:S161)</f>
        <v>266.09999999999997</v>
      </c>
      <c r="T162" s="667">
        <f t="shared" ref="T162:U162" si="89">SUM(T131:T161)</f>
        <v>310.10000000000002</v>
      </c>
      <c r="U162" s="667">
        <f t="shared" si="89"/>
        <v>341.55310541310587</v>
      </c>
      <c r="V162" s="670" t="s">
        <v>364</v>
      </c>
      <c r="W162" s="666">
        <f>IF(COUNT(W131:W161) = 0, "ni podatkov",AVERAGE(W131:W161))</f>
        <v>5.9233333333333329</v>
      </c>
      <c r="X162" s="667">
        <f>SUM(X131:X161)</f>
        <v>422.29999999999995</v>
      </c>
      <c r="Y162" s="667">
        <f t="shared" ref="Y162:Z162" si="90">SUM(Y131:Y161)</f>
        <v>482.29999999999995</v>
      </c>
      <c r="Z162" s="667">
        <f t="shared" si="90"/>
        <v>525.19059829059904</v>
      </c>
      <c r="AA162" s="670" t="s">
        <v>364</v>
      </c>
      <c r="AB162" s="666">
        <f>IF(COUNT(AB131:AB161) = 0, "ni podatkov",AVERAGE(AB131:AB161))</f>
        <v>1.3129032258064517</v>
      </c>
      <c r="AC162" s="667">
        <f>SUM(AC131:AC161)</f>
        <v>579.29999999999995</v>
      </c>
      <c r="AD162" s="667">
        <f t="shared" ref="AD162:AE162" si="91">SUM(AD131:AD161)</f>
        <v>641.29999999999995</v>
      </c>
      <c r="AE162" s="667">
        <f t="shared" si="91"/>
        <v>685.62028490028558</v>
      </c>
    </row>
  </sheetData>
  <mergeCells count="24">
    <mergeCell ref="AA129:AE129"/>
    <mergeCell ref="B95:F95"/>
    <mergeCell ref="G95:K95"/>
    <mergeCell ref="L95:P95"/>
    <mergeCell ref="Q95:U95"/>
    <mergeCell ref="V95:Z95"/>
    <mergeCell ref="AA95:AE95"/>
    <mergeCell ref="B129:F129"/>
    <mergeCell ref="G129:K129"/>
    <mergeCell ref="L129:P129"/>
    <mergeCell ref="Q129:U129"/>
    <mergeCell ref="V129:Z129"/>
    <mergeCell ref="AA59:AE59"/>
    <mergeCell ref="B25:F25"/>
    <mergeCell ref="G25:K25"/>
    <mergeCell ref="L25:P25"/>
    <mergeCell ref="Q25:U25"/>
    <mergeCell ref="V25:Z25"/>
    <mergeCell ref="AA25:AE25"/>
    <mergeCell ref="B59:F59"/>
    <mergeCell ref="G59:K59"/>
    <mergeCell ref="L59:P59"/>
    <mergeCell ref="Q59:U59"/>
    <mergeCell ref="V59:Z59"/>
  </mergeCells>
  <pageMargins left="0.70866141732283472" right="0.70866141732283472" top="0.74803149606299213" bottom="0.74803149606299213" header="0.31496062992125984" footer="0.31496062992125984"/>
  <pageSetup paperSize="9" scale="23" orientation="landscape" r:id="rId1"/>
  <headerFooter>
    <oddHeader>&amp;LProgram izvajanja koncesije "Celovita energetska prenova 7 objektov UKC LJ"&amp;R&amp;A</oddHeader>
    <oddFooter>&amp;RStran &amp;P / &amp;N</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88F48-0E08-4106-A648-9ED7AFADB7F7}">
  <sheetPr>
    <tabColor theme="4"/>
    <pageSetUpPr fitToPage="1"/>
  </sheetPr>
  <dimension ref="A1:AP125"/>
  <sheetViews>
    <sheetView topLeftCell="A4" zoomScale="55" zoomScaleNormal="55" zoomScalePageLayoutView="40" workbookViewId="0">
      <selection activeCell="B21" sqref="B21:U24"/>
    </sheetView>
  </sheetViews>
  <sheetFormatPr defaultColWidth="9" defaultRowHeight="14.25" customHeight="1" x14ac:dyDescent="0.2"/>
  <cols>
    <col min="1" max="1" width="5.140625" style="248" customWidth="1"/>
    <col min="2" max="2" width="25.7109375" style="248" customWidth="1"/>
    <col min="3" max="4" width="21.140625" style="248" customWidth="1"/>
    <col min="5" max="17" width="20.7109375" style="248" customWidth="1"/>
    <col min="18" max="18" width="19.7109375" style="248" customWidth="1"/>
    <col min="19" max="19" width="20.140625" style="248" customWidth="1"/>
    <col min="20" max="23" width="17.85546875" style="248" customWidth="1"/>
    <col min="24" max="24" width="19.5703125" style="248" customWidth="1"/>
    <col min="25" max="25" width="17.85546875" style="248" customWidth="1"/>
    <col min="26" max="26" width="16.140625" style="248" bestFit="1" customWidth="1"/>
    <col min="27" max="35" width="16.140625" style="248" customWidth="1"/>
    <col min="36" max="36" width="27.5703125" style="248" bestFit="1" customWidth="1"/>
    <col min="37" max="37" width="19.140625" style="248" customWidth="1"/>
    <col min="38" max="38" width="33.7109375" style="248" customWidth="1"/>
    <col min="39" max="39" width="19.85546875" style="248" customWidth="1"/>
    <col min="40" max="16384" width="9" style="248"/>
  </cols>
  <sheetData>
    <row r="1" spans="2:40" ht="44.25" x14ac:dyDescent="0.2">
      <c r="B1" s="244" t="s">
        <v>139</v>
      </c>
      <c r="C1" s="245"/>
      <c r="D1" s="245"/>
      <c r="E1" s="245"/>
      <c r="F1" s="245"/>
      <c r="G1" s="245"/>
      <c r="H1" s="245"/>
      <c r="I1" s="245"/>
      <c r="J1" s="246"/>
      <c r="K1" s="246"/>
      <c r="L1" s="246"/>
      <c r="M1" s="246"/>
      <c r="N1" s="246"/>
      <c r="O1" s="246"/>
      <c r="P1" s="246"/>
      <c r="Q1" s="246"/>
      <c r="R1" s="246"/>
      <c r="S1" s="246"/>
      <c r="T1" s="246"/>
      <c r="U1" s="246"/>
      <c r="V1" s="246"/>
      <c r="W1" s="247"/>
      <c r="X1" s="247"/>
    </row>
    <row r="2" spans="2:40" ht="15" x14ac:dyDescent="0.2">
      <c r="B2" s="245"/>
      <c r="C2" s="245"/>
      <c r="D2" s="245"/>
      <c r="E2" s="245"/>
      <c r="F2" s="245"/>
      <c r="G2" s="245"/>
      <c r="H2" s="245"/>
      <c r="I2" s="245"/>
      <c r="J2" s="246"/>
      <c r="K2" s="246"/>
      <c r="L2" s="246"/>
      <c r="M2" s="246"/>
      <c r="N2" s="246"/>
      <c r="O2" s="246"/>
      <c r="P2" s="246"/>
      <c r="Q2" s="246"/>
      <c r="R2" s="246"/>
      <c r="S2" s="246"/>
      <c r="T2" s="246"/>
      <c r="U2" s="246"/>
      <c r="V2" s="246"/>
      <c r="W2" s="247"/>
      <c r="X2" s="247"/>
    </row>
    <row r="3" spans="2:40" ht="19.5" x14ac:dyDescent="0.2">
      <c r="B3" s="249" t="s">
        <v>140</v>
      </c>
      <c r="C3" s="250" t="s">
        <v>141</v>
      </c>
      <c r="D3" s="251"/>
      <c r="E3" s="251"/>
      <c r="F3" s="251"/>
      <c r="G3" s="252"/>
      <c r="H3" s="251"/>
      <c r="I3" s="251"/>
      <c r="J3" s="1214" t="s">
        <v>142</v>
      </c>
      <c r="K3" s="1215"/>
      <c r="L3" s="1216"/>
      <c r="M3" s="1217"/>
      <c r="N3" s="251"/>
      <c r="O3" s="251"/>
      <c r="P3" s="253" t="s">
        <v>143</v>
      </c>
      <c r="Q3" s="1221"/>
      <c r="R3" s="1222"/>
      <c r="S3" s="1222"/>
      <c r="T3" s="1223"/>
      <c r="U3" s="251"/>
      <c r="V3" s="251"/>
    </row>
    <row r="4" spans="2:40" ht="27" customHeight="1" x14ac:dyDescent="0.2">
      <c r="B4" s="252" t="s">
        <v>144</v>
      </c>
      <c r="C4" s="1227" t="str">
        <f>INDEX('Referenčne količine'!$D7:$G7,MATCH(ObračunOB001!$C$3,'Referenčne količine'!$D$6:$G$6))</f>
        <v>POŠ Rakitna</v>
      </c>
      <c r="D4" s="1228"/>
      <c r="E4" s="1228"/>
      <c r="F4" s="1228"/>
      <c r="G4" s="1228"/>
      <c r="H4" s="1229"/>
      <c r="I4" s="251"/>
      <c r="J4" s="1214"/>
      <c r="K4" s="1218"/>
      <c r="L4" s="1219"/>
      <c r="M4" s="1220"/>
      <c r="N4" s="251"/>
      <c r="O4" s="251"/>
      <c r="P4" s="253"/>
      <c r="Q4" s="1224"/>
      <c r="R4" s="1225"/>
      <c r="S4" s="1225"/>
      <c r="T4" s="1226"/>
      <c r="U4" s="251"/>
      <c r="V4" s="251"/>
    </row>
    <row r="5" spans="2:40" ht="24.75" customHeight="1" x14ac:dyDescent="0.2">
      <c r="B5" s="254"/>
      <c r="C5" s="1230"/>
      <c r="D5" s="1231"/>
      <c r="E5" s="1231"/>
      <c r="F5" s="1231"/>
      <c r="G5" s="1231"/>
      <c r="H5" s="1232"/>
      <c r="I5" s="251"/>
      <c r="J5" s="1214" t="s">
        <v>145</v>
      </c>
      <c r="K5" s="1233"/>
      <c r="L5" s="1234"/>
      <c r="M5" s="1235"/>
      <c r="N5" s="251"/>
      <c r="O5" s="251"/>
      <c r="P5" s="253" t="s">
        <v>146</v>
      </c>
      <c r="Q5" s="1239"/>
      <c r="R5" s="1239"/>
      <c r="S5" s="1239"/>
      <c r="T5" s="1239"/>
      <c r="U5" s="251"/>
      <c r="V5" s="251"/>
    </row>
    <row r="6" spans="2:40" ht="57.75" customHeight="1" x14ac:dyDescent="0.2">
      <c r="B6" s="249" t="s">
        <v>147</v>
      </c>
      <c r="C6" s="1240" t="str">
        <f>INDEX('Osnovni podatki'!E6:E9,MATCH(ObračunOB001!$C$3,'Osnovni podatki'!$C$6:$C$9))</f>
        <v>Rakitna 54,  
1352 Preserje</v>
      </c>
      <c r="D6" s="1241"/>
      <c r="E6" s="1241"/>
      <c r="F6" s="1241"/>
      <c r="G6" s="1241"/>
      <c r="H6" s="1242"/>
      <c r="I6" s="255"/>
      <c r="J6" s="1214"/>
      <c r="K6" s="1236"/>
      <c r="L6" s="1237"/>
      <c r="M6" s="1238"/>
      <c r="N6" s="255"/>
      <c r="O6" s="255"/>
      <c r="P6" s="253"/>
      <c r="Q6" s="1239"/>
      <c r="R6" s="1239"/>
      <c r="S6" s="1239"/>
      <c r="T6" s="1239"/>
      <c r="U6" s="255"/>
      <c r="V6" s="255"/>
    </row>
    <row r="7" spans="2:40" ht="18" x14ac:dyDescent="0.2">
      <c r="B7" s="256"/>
      <c r="C7" s="247"/>
      <c r="D7" s="247"/>
      <c r="E7" s="247"/>
      <c r="F7" s="247"/>
      <c r="G7" s="247"/>
      <c r="H7" s="247"/>
      <c r="I7" s="245"/>
      <c r="J7" s="247"/>
      <c r="K7" s="247"/>
      <c r="L7" s="247"/>
      <c r="M7" s="247"/>
      <c r="N7" s="246"/>
      <c r="O7" s="247"/>
      <c r="P7" s="253"/>
      <c r="Q7" s="255"/>
      <c r="R7" s="255"/>
      <c r="S7" s="255"/>
      <c r="T7" s="255"/>
      <c r="U7" s="255"/>
      <c r="V7" s="255"/>
    </row>
    <row r="8" spans="2:40" ht="18" customHeight="1" x14ac:dyDescent="0.2">
      <c r="B8" s="257"/>
      <c r="C8" s="247"/>
      <c r="D8" s="247"/>
      <c r="F8" s="247"/>
      <c r="G8" s="247"/>
      <c r="H8" s="247"/>
      <c r="I8" s="245" t="s">
        <v>148</v>
      </c>
      <c r="N8" s="246"/>
      <c r="O8" s="247"/>
      <c r="P8" s="253" t="s">
        <v>149</v>
      </c>
      <c r="Q8" s="1243"/>
      <c r="R8" s="1244"/>
      <c r="S8" s="1244"/>
      <c r="T8" s="1244"/>
      <c r="U8" s="1245"/>
      <c r="V8" s="255"/>
    </row>
    <row r="9" spans="2:40" ht="30.75" thickBot="1" x14ac:dyDescent="0.25">
      <c r="B9" s="258" t="s">
        <v>150</v>
      </c>
      <c r="C9" s="247"/>
      <c r="D9" s="247"/>
      <c r="E9" s="247"/>
      <c r="F9" s="247"/>
      <c r="G9" s="247"/>
      <c r="H9" s="247"/>
      <c r="I9" s="245"/>
      <c r="J9" s="247"/>
      <c r="K9" s="247"/>
      <c r="L9" s="247"/>
      <c r="N9" s="246"/>
      <c r="O9" s="247"/>
      <c r="P9" s="253"/>
      <c r="Q9" s="1246"/>
      <c r="R9" s="1247"/>
      <c r="S9" s="1247"/>
      <c r="T9" s="1247"/>
      <c r="U9" s="1248"/>
      <c r="V9" s="255"/>
      <c r="Y9" s="259"/>
      <c r="Z9" s="259"/>
      <c r="AA9" s="259"/>
      <c r="AB9" s="259"/>
      <c r="AC9" s="259"/>
      <c r="AD9" s="259"/>
      <c r="AE9" s="259"/>
      <c r="AF9" s="259"/>
      <c r="AG9" s="259"/>
      <c r="AH9" s="259"/>
      <c r="AI9" s="259"/>
      <c r="AJ9" s="259"/>
      <c r="AK9" s="260"/>
      <c r="AL9" s="260"/>
      <c r="AM9" s="260"/>
      <c r="AN9" s="260"/>
    </row>
    <row r="10" spans="2:40" ht="45.75" customHeight="1" x14ac:dyDescent="0.2">
      <c r="B10" s="1260"/>
      <c r="C10" s="1252" t="s">
        <v>151</v>
      </c>
      <c r="D10" s="1253"/>
      <c r="E10" s="1254"/>
      <c r="F10" s="1255" t="s">
        <v>152</v>
      </c>
      <c r="G10" s="1256"/>
      <c r="H10" s="1257"/>
      <c r="I10" s="1258" t="s">
        <v>153</v>
      </c>
      <c r="J10" s="1256"/>
      <c r="K10" s="1259"/>
      <c r="L10" s="1255" t="s">
        <v>154</v>
      </c>
      <c r="M10" s="1256"/>
      <c r="N10" s="1259"/>
      <c r="O10" s="247"/>
      <c r="P10" s="261"/>
      <c r="Q10" s="1249"/>
      <c r="R10" s="1250"/>
      <c r="S10" s="1250"/>
      <c r="T10" s="1250"/>
      <c r="U10" s="1251"/>
      <c r="V10" s="255"/>
      <c r="Y10" s="259"/>
      <c r="Z10" s="259"/>
      <c r="AA10" s="259"/>
      <c r="AB10" s="259"/>
      <c r="AC10" s="259"/>
      <c r="AD10" s="259"/>
      <c r="AE10" s="259"/>
      <c r="AF10" s="259"/>
      <c r="AG10" s="259"/>
      <c r="AH10" s="259"/>
      <c r="AI10" s="259"/>
      <c r="AJ10" s="259"/>
      <c r="AK10" s="260"/>
      <c r="AL10" s="260"/>
      <c r="AM10" s="260"/>
      <c r="AN10" s="260"/>
    </row>
    <row r="11" spans="2:40" ht="18" customHeight="1" x14ac:dyDescent="0.2">
      <c r="B11" s="1261"/>
      <c r="C11" s="1263" t="s">
        <v>155</v>
      </c>
      <c r="D11" s="1264"/>
      <c r="E11" s="1265"/>
      <c r="F11" s="1263" t="s">
        <v>155</v>
      </c>
      <c r="G11" s="1264"/>
      <c r="H11" s="1265"/>
      <c r="I11" s="1263" t="s">
        <v>156</v>
      </c>
      <c r="J11" s="1264"/>
      <c r="K11" s="1265"/>
      <c r="L11" s="1263" t="s">
        <v>157</v>
      </c>
      <c r="M11" s="1264"/>
      <c r="N11" s="1265"/>
      <c r="O11" s="247"/>
      <c r="P11" s="261"/>
      <c r="R11" s="255"/>
      <c r="S11" s="255"/>
      <c r="T11" s="255"/>
      <c r="U11" s="255"/>
      <c r="V11" s="255"/>
      <c r="Y11" s="259"/>
      <c r="Z11" s="259"/>
      <c r="AA11" s="259"/>
      <c r="AB11" s="259"/>
      <c r="AC11" s="259"/>
      <c r="AD11" s="259"/>
      <c r="AE11" s="259"/>
      <c r="AF11" s="259"/>
      <c r="AG11" s="259"/>
      <c r="AH11" s="259"/>
      <c r="AI11" s="259"/>
      <c r="AJ11" s="259"/>
      <c r="AK11" s="260"/>
      <c r="AL11" s="260"/>
      <c r="AM11" s="260"/>
      <c r="AN11" s="260"/>
    </row>
    <row r="12" spans="2:40" ht="30.75" customHeight="1" thickBot="1" x14ac:dyDescent="0.25">
      <c r="B12" s="1262"/>
      <c r="C12" s="262" t="s">
        <v>64</v>
      </c>
      <c r="D12" s="263" t="s">
        <v>158</v>
      </c>
      <c r="E12" s="264" t="s">
        <v>102</v>
      </c>
      <c r="F12" s="265" t="s">
        <v>64</v>
      </c>
      <c r="G12" s="263" t="s">
        <v>158</v>
      </c>
      <c r="H12" s="266" t="s">
        <v>102</v>
      </c>
      <c r="I12" s="262" t="s">
        <v>64</v>
      </c>
      <c r="J12" s="263" t="s">
        <v>158</v>
      </c>
      <c r="K12" s="264" t="s">
        <v>102</v>
      </c>
      <c r="L12" s="265" t="s">
        <v>64</v>
      </c>
      <c r="M12" s="263" t="s">
        <v>158</v>
      </c>
      <c r="N12" s="267" t="s">
        <v>159</v>
      </c>
      <c r="O12" s="247"/>
      <c r="P12" s="261"/>
      <c r="R12" s="255"/>
      <c r="S12" s="255"/>
      <c r="T12" s="255"/>
      <c r="U12" s="255"/>
      <c r="V12" s="255"/>
      <c r="Y12" s="259"/>
      <c r="Z12" s="259"/>
      <c r="AA12" s="259"/>
      <c r="AB12" s="259"/>
      <c r="AC12" s="259"/>
      <c r="AD12" s="259"/>
      <c r="AE12" s="259"/>
      <c r="AF12" s="259"/>
      <c r="AG12" s="259"/>
      <c r="AH12" s="259"/>
      <c r="AI12" s="259"/>
      <c r="AJ12" s="259"/>
      <c r="AK12" s="260"/>
      <c r="AL12" s="260"/>
      <c r="AM12" s="260"/>
      <c r="AN12" s="260"/>
    </row>
    <row r="13" spans="2:40" ht="45.75" customHeight="1" x14ac:dyDescent="0.2">
      <c r="B13" s="268" t="s">
        <v>160</v>
      </c>
      <c r="C13" s="269">
        <f ca="1">SUM(H44:I44)</f>
        <v>142661.28571485792</v>
      </c>
      <c r="D13" s="270">
        <f ca="1">M44</f>
        <v>16406.052857218674</v>
      </c>
      <c r="E13" s="271">
        <f ca="1">D13/I35</f>
        <v>1</v>
      </c>
      <c r="F13" s="272">
        <f ca="1">SUM(H65:I65)</f>
        <v>142661</v>
      </c>
      <c r="G13" s="270">
        <f ca="1">M65</f>
        <v>16406.02</v>
      </c>
      <c r="H13" s="273">
        <f ca="1">M65/I56</f>
        <v>1</v>
      </c>
      <c r="I13" s="274">
        <f>IFERROR(SUM(G84:H84),0)</f>
        <v>0</v>
      </c>
      <c r="J13" s="270">
        <f ca="1">IFERROR(N84,0)</f>
        <v>0</v>
      </c>
      <c r="K13" s="271" t="e">
        <f ca="1">N84/I56</f>
        <v>#DIV/0!</v>
      </c>
      <c r="L13" s="275">
        <f ca="1">I13-F13</f>
        <v>-142661</v>
      </c>
      <c r="M13" s="276">
        <f ca="1">ROUND(J13-G13,2)</f>
        <v>-16406.02</v>
      </c>
      <c r="N13" s="277" t="str">
        <f ca="1">IF(M13&gt;0,"BONUS",IF(M13&lt;0,"MALUS","-"))</f>
        <v>MALUS</v>
      </c>
      <c r="O13" s="253"/>
      <c r="P13" s="261"/>
      <c r="R13" s="255"/>
      <c r="S13" s="255"/>
      <c r="T13" s="255"/>
      <c r="U13" s="255"/>
      <c r="V13" s="255"/>
      <c r="Y13" s="259"/>
      <c r="Z13" s="259"/>
      <c r="AA13" s="259"/>
      <c r="AB13" s="259"/>
      <c r="AC13" s="259"/>
      <c r="AD13" s="259"/>
      <c r="AE13" s="259"/>
      <c r="AF13" s="259"/>
      <c r="AG13" s="259"/>
      <c r="AH13" s="259"/>
      <c r="AI13" s="259"/>
      <c r="AJ13" s="259"/>
      <c r="AK13" s="260"/>
      <c r="AL13" s="260"/>
      <c r="AM13" s="260"/>
      <c r="AN13" s="260"/>
    </row>
    <row r="14" spans="2:40" ht="45.75" customHeight="1" x14ac:dyDescent="0.2">
      <c r="B14" s="278" t="s">
        <v>161</v>
      </c>
      <c r="C14" s="279">
        <f ca="1">SUM(K96:L96)</f>
        <v>16250</v>
      </c>
      <c r="D14" s="280">
        <f ca="1">O96</f>
        <v>2713.75</v>
      </c>
      <c r="E14" s="281">
        <f ca="1">O96/G96</f>
        <v>0.47164831289584447</v>
      </c>
      <c r="F14" s="282">
        <f ca="1">SUM(K105:L105)</f>
        <v>34453.637499999997</v>
      </c>
      <c r="G14" s="280">
        <f ca="1">O105</f>
        <v>5753.7574624999997</v>
      </c>
      <c r="H14" s="283">
        <f ca="1">O105/G105</f>
        <v>1</v>
      </c>
      <c r="I14" s="284">
        <f ca="1">IFERROR(SUM(N114:O114),0)</f>
        <v>16250</v>
      </c>
      <c r="J14" s="280">
        <f ca="1">IFERROR(R114,0)</f>
        <v>2713.75</v>
      </c>
      <c r="K14" s="281">
        <f ca="1">R114/G105</f>
        <v>0.47164831289584447</v>
      </c>
      <c r="L14" s="275">
        <f ca="1">I14-F14</f>
        <v>-18203.637499999997</v>
      </c>
      <c r="M14" s="276">
        <f ca="1">ROUND(J14-G14,2)</f>
        <v>-3040.01</v>
      </c>
      <c r="N14" s="277" t="str">
        <f ca="1">IF(M14&gt;0,"BONUS",IF(M14&lt;0,"MALUS","-"))</f>
        <v>MALUS</v>
      </c>
      <c r="O14" s="253"/>
      <c r="P14" s="261"/>
      <c r="R14" s="255"/>
      <c r="S14" s="255"/>
      <c r="T14" s="255"/>
      <c r="U14" s="255"/>
      <c r="V14" s="255"/>
      <c r="Y14" s="259"/>
      <c r="Z14" s="259"/>
      <c r="AA14" s="259"/>
      <c r="AB14" s="259"/>
      <c r="AC14" s="259"/>
      <c r="AD14" s="259"/>
      <c r="AE14" s="259"/>
      <c r="AF14" s="259"/>
      <c r="AG14" s="259"/>
      <c r="AH14" s="259"/>
      <c r="AI14" s="259"/>
      <c r="AJ14" s="259"/>
      <c r="AK14" s="260"/>
      <c r="AL14" s="260"/>
      <c r="AM14" s="260"/>
      <c r="AN14" s="260"/>
    </row>
    <row r="15" spans="2:40" ht="45.75" customHeight="1" thickBot="1" x14ac:dyDescent="0.25">
      <c r="B15" s="285" t="s">
        <v>162</v>
      </c>
      <c r="C15" s="286">
        <v>0</v>
      </c>
      <c r="D15" s="287">
        <f>E124</f>
        <v>5726</v>
      </c>
      <c r="E15" s="288">
        <f>E124/C124</f>
        <v>1</v>
      </c>
      <c r="F15" s="289">
        <v>0</v>
      </c>
      <c r="G15" s="287">
        <f>L124</f>
        <v>5726</v>
      </c>
      <c r="H15" s="290">
        <f>L124/J123</f>
        <v>1</v>
      </c>
      <c r="I15" s="291">
        <v>0</v>
      </c>
      <c r="J15" s="287">
        <f ca="1">R124</f>
        <v>5726</v>
      </c>
      <c r="K15" s="288">
        <f ca="1">R124/P123</f>
        <v>1</v>
      </c>
      <c r="L15" s="275">
        <f>I15-F15</f>
        <v>0</v>
      </c>
      <c r="M15" s="276">
        <f ca="1">ROUND(J15-G15,2)</f>
        <v>0</v>
      </c>
      <c r="N15" s="277" t="str">
        <f ca="1">IF(M15&gt;0,"BONUS",IF(M15&lt;0,"MALUS","-"))</f>
        <v>-</v>
      </c>
      <c r="O15" s="253"/>
      <c r="P15" s="261"/>
      <c r="R15" s="255"/>
      <c r="S15" s="255"/>
      <c r="T15" s="255"/>
      <c r="U15" s="255"/>
      <c r="V15" s="255"/>
      <c r="Y15" s="259"/>
      <c r="Z15" s="259"/>
      <c r="AA15" s="259"/>
      <c r="AB15" s="259"/>
      <c r="AC15" s="259"/>
      <c r="AD15" s="259"/>
      <c r="AE15" s="259"/>
      <c r="AF15" s="259"/>
      <c r="AG15" s="259"/>
      <c r="AH15" s="259"/>
      <c r="AI15" s="259"/>
      <c r="AJ15" s="259"/>
      <c r="AK15" s="260"/>
      <c r="AL15" s="260"/>
      <c r="AM15" s="260"/>
      <c r="AN15" s="260"/>
    </row>
    <row r="16" spans="2:40" ht="45.75" customHeight="1" thickBot="1" x14ac:dyDescent="0.25">
      <c r="B16" s="292" t="s">
        <v>163</v>
      </c>
      <c r="C16" s="293">
        <f ca="1">SUM(C13:C15)</f>
        <v>158911.28571485792</v>
      </c>
      <c r="D16" s="294">
        <f ca="1">SUM(D13:D15)</f>
        <v>24845.802857218674</v>
      </c>
      <c r="E16" s="295">
        <f ca="1">AVERAGE(E13:E15)</f>
        <v>0.82388277096528151</v>
      </c>
      <c r="F16" s="296">
        <f ca="1">SUM(F13:F15)</f>
        <v>177114.63750000001</v>
      </c>
      <c r="G16" s="294">
        <f ca="1">SUM(G13:G15)</f>
        <v>27885.777462500002</v>
      </c>
      <c r="H16" s="297">
        <f ca="1">AVERAGE(H13:H15)</f>
        <v>1</v>
      </c>
      <c r="I16" s="298">
        <f ca="1">SUM(I13:I15)</f>
        <v>16250</v>
      </c>
      <c r="J16" s="294">
        <f ca="1">SUM(J13:J15)</f>
        <v>8439.75</v>
      </c>
      <c r="K16" s="295" t="e">
        <f ca="1">AVERAGE(K13:K15)</f>
        <v>#DIV/0!</v>
      </c>
      <c r="L16" s="299">
        <f ca="1">SUM(L13:L15)</f>
        <v>-160864.63750000001</v>
      </c>
      <c r="M16" s="300">
        <f ca="1">SUM(M13:M15)</f>
        <v>-19446.03</v>
      </c>
      <c r="N16" s="301" t="str">
        <f ca="1">IF(M13&gt;0,"BONUS",IF(M13&lt;0,"MALUS","-"))</f>
        <v>MALUS</v>
      </c>
      <c r="O16" s="253"/>
      <c r="P16" s="255"/>
      <c r="Q16" s="255"/>
      <c r="R16" s="255"/>
      <c r="S16" s="255"/>
      <c r="T16" s="255"/>
      <c r="U16" s="255"/>
      <c r="V16" s="255"/>
      <c r="Y16" s="259"/>
      <c r="Z16" s="259"/>
      <c r="AA16" s="259"/>
      <c r="AB16" s="259"/>
      <c r="AC16" s="259"/>
      <c r="AD16" s="259"/>
      <c r="AE16" s="259"/>
      <c r="AF16" s="259"/>
      <c r="AG16" s="259"/>
      <c r="AH16" s="259"/>
      <c r="AI16" s="259"/>
      <c r="AJ16" s="259"/>
      <c r="AK16" s="260"/>
      <c r="AL16" s="260"/>
      <c r="AM16" s="260"/>
      <c r="AN16" s="260"/>
    </row>
    <row r="17" spans="1:40" ht="18" x14ac:dyDescent="0.2">
      <c r="B17" s="256"/>
      <c r="C17" s="247"/>
      <c r="D17" s="247"/>
      <c r="E17" s="247"/>
      <c r="F17" s="247"/>
      <c r="G17" s="247"/>
      <c r="H17" s="247"/>
      <c r="I17" s="245"/>
      <c r="J17" s="247"/>
      <c r="K17" s="247"/>
      <c r="L17" s="247"/>
      <c r="M17" s="247"/>
      <c r="N17" s="246"/>
      <c r="O17" s="247"/>
      <c r="P17" s="255"/>
      <c r="Q17" s="255"/>
      <c r="R17" s="255"/>
      <c r="S17" s="255"/>
      <c r="T17" s="255"/>
      <c r="U17" s="255"/>
      <c r="V17" s="255"/>
      <c r="Y17" s="259"/>
      <c r="Z17" s="259"/>
      <c r="AA17" s="259"/>
      <c r="AB17" s="259"/>
      <c r="AC17" s="259"/>
      <c r="AD17" s="259"/>
      <c r="AE17" s="259"/>
      <c r="AF17" s="259"/>
      <c r="AG17" s="259"/>
      <c r="AH17" s="259"/>
      <c r="AI17" s="259"/>
      <c r="AJ17" s="259"/>
      <c r="AK17" s="260"/>
      <c r="AL17" s="260"/>
      <c r="AM17" s="260"/>
      <c r="AN17" s="260"/>
    </row>
    <row r="18" spans="1:40" ht="18.75" thickBot="1" x14ac:dyDescent="0.25">
      <c r="B18" s="256"/>
      <c r="C18" s="247"/>
      <c r="D18" s="247"/>
      <c r="E18" s="247"/>
      <c r="F18" s="247"/>
      <c r="G18" s="247"/>
      <c r="H18" s="247"/>
      <c r="I18" s="245"/>
      <c r="J18" s="246"/>
      <c r="K18" s="246"/>
      <c r="L18" s="246"/>
      <c r="M18" s="246"/>
      <c r="N18" s="246"/>
      <c r="O18" s="247"/>
      <c r="P18" s="247"/>
      <c r="Q18" s="247"/>
      <c r="R18" s="247"/>
      <c r="S18" s="247"/>
      <c r="T18" s="255"/>
      <c r="U18" s="255"/>
      <c r="V18" s="255"/>
      <c r="Y18" s="259"/>
      <c r="Z18" s="259"/>
      <c r="AA18" s="259"/>
      <c r="AB18" s="259"/>
      <c r="AC18" s="259"/>
      <c r="AD18" s="259"/>
      <c r="AE18" s="259"/>
      <c r="AF18" s="259"/>
      <c r="AG18" s="259"/>
      <c r="AH18" s="259"/>
      <c r="AI18" s="259"/>
      <c r="AJ18" s="259"/>
      <c r="AK18" s="260"/>
      <c r="AL18" s="260"/>
      <c r="AM18" s="260"/>
      <c r="AN18" s="260"/>
    </row>
    <row r="19" spans="1:40" ht="30.75" thickBot="1" x14ac:dyDescent="0.25">
      <c r="B19" s="302" t="s">
        <v>164</v>
      </c>
      <c r="C19" s="303"/>
      <c r="D19" s="303"/>
      <c r="E19" s="303"/>
      <c r="F19" s="303"/>
      <c r="G19" s="303"/>
      <c r="H19" s="303"/>
      <c r="I19" s="303"/>
      <c r="J19" s="303"/>
      <c r="K19" s="303"/>
      <c r="L19" s="303"/>
      <c r="M19" s="303"/>
      <c r="N19" s="303"/>
      <c r="O19" s="303"/>
      <c r="P19" s="303"/>
      <c r="Q19" s="303"/>
      <c r="R19" s="303"/>
      <c r="S19" s="303"/>
      <c r="T19" s="303"/>
      <c r="U19" s="303"/>
      <c r="V19" s="304"/>
      <c r="Y19" s="259"/>
      <c r="Z19" s="259"/>
      <c r="AA19" s="259"/>
      <c r="AB19" s="259"/>
      <c r="AC19" s="259"/>
      <c r="AD19" s="259"/>
      <c r="AE19" s="259"/>
      <c r="AF19" s="259"/>
      <c r="AG19" s="259"/>
      <c r="AH19" s="259"/>
      <c r="AI19" s="259"/>
      <c r="AJ19" s="259"/>
      <c r="AK19" s="260"/>
      <c r="AL19" s="260"/>
      <c r="AM19" s="260"/>
      <c r="AN19" s="260"/>
    </row>
    <row r="20" spans="1:40" ht="30" x14ac:dyDescent="0.2">
      <c r="B20" s="258"/>
      <c r="C20" s="258"/>
      <c r="D20" s="258"/>
      <c r="E20" s="258"/>
      <c r="F20" s="258"/>
      <c r="G20" s="258"/>
      <c r="H20" s="258"/>
      <c r="I20" s="258"/>
      <c r="J20" s="258"/>
      <c r="K20" s="258"/>
      <c r="L20" s="258"/>
      <c r="M20" s="258"/>
      <c r="N20" s="258"/>
      <c r="O20" s="258"/>
      <c r="P20" s="258"/>
      <c r="Q20" s="258"/>
      <c r="R20" s="258"/>
      <c r="S20" s="258"/>
      <c r="T20" s="258"/>
      <c r="U20" s="258"/>
      <c r="V20" s="258"/>
      <c r="Y20" s="259"/>
      <c r="Z20" s="259"/>
      <c r="AA20" s="259"/>
      <c r="AB20" s="259"/>
      <c r="AC20" s="259"/>
      <c r="AD20" s="259"/>
      <c r="AE20" s="259"/>
      <c r="AF20" s="259"/>
      <c r="AG20" s="259"/>
      <c r="AH20" s="259"/>
      <c r="AI20" s="259"/>
      <c r="AJ20" s="259"/>
      <c r="AK20" s="260"/>
      <c r="AL20" s="260"/>
      <c r="AM20" s="260"/>
      <c r="AN20" s="260"/>
    </row>
    <row r="21" spans="1:40" ht="30" x14ac:dyDescent="0.2">
      <c r="B21" s="256"/>
      <c r="C21" s="561" t="s">
        <v>165</v>
      </c>
      <c r="D21" s="247"/>
      <c r="E21" s="247"/>
      <c r="F21" s="247"/>
      <c r="G21" s="247"/>
      <c r="H21" s="247"/>
      <c r="I21" s="245"/>
      <c r="J21" s="246"/>
      <c r="K21" s="246"/>
      <c r="L21" s="246"/>
      <c r="M21" s="246"/>
      <c r="N21" s="246"/>
      <c r="O21" s="247"/>
      <c r="P21" s="247"/>
      <c r="Q21" s="247"/>
      <c r="R21" s="247" t="s">
        <v>467</v>
      </c>
      <c r="S21" s="247"/>
      <c r="T21" s="255"/>
      <c r="U21" s="255"/>
      <c r="V21" s="255"/>
      <c r="Y21" s="259"/>
      <c r="Z21" s="259"/>
      <c r="AA21" s="259"/>
      <c r="AB21" s="259"/>
      <c r="AC21" s="259"/>
      <c r="AD21" s="259"/>
      <c r="AE21" s="259"/>
      <c r="AF21" s="259"/>
      <c r="AG21" s="259"/>
      <c r="AH21" s="259"/>
      <c r="AI21" s="259"/>
      <c r="AJ21" s="259"/>
      <c r="AK21" s="260"/>
      <c r="AL21" s="260"/>
      <c r="AM21" s="260"/>
      <c r="AN21" s="260"/>
    </row>
    <row r="22" spans="1:40" ht="18" x14ac:dyDescent="0.2">
      <c r="B22" s="246"/>
      <c r="C22" s="252" t="s">
        <v>166</v>
      </c>
      <c r="D22" s="1280" t="s">
        <v>464</v>
      </c>
      <c r="E22" s="1281"/>
      <c r="F22" s="251"/>
      <c r="G22" s="246"/>
      <c r="H22" s="252" t="s">
        <v>167</v>
      </c>
      <c r="I22" s="1280" t="s">
        <v>464</v>
      </c>
      <c r="J22" s="1281"/>
      <c r="K22" s="251"/>
      <c r="M22" s="252" t="s">
        <v>168</v>
      </c>
      <c r="N22" s="1280"/>
      <c r="O22" s="1281"/>
      <c r="P22" s="247"/>
      <c r="Q22" s="247"/>
      <c r="S22" s="305" t="s">
        <v>136</v>
      </c>
      <c r="T22" s="123"/>
      <c r="U22" s="306">
        <v>1</v>
      </c>
      <c r="V22" s="255"/>
      <c r="Y22" s="259"/>
      <c r="Z22" s="259"/>
      <c r="AA22" s="259"/>
      <c r="AB22" s="259"/>
      <c r="AC22" s="259"/>
      <c r="AD22" s="259"/>
      <c r="AE22" s="259"/>
      <c r="AF22" s="259"/>
      <c r="AG22" s="259"/>
      <c r="AH22" s="259"/>
      <c r="AI22" s="259"/>
      <c r="AJ22" s="259"/>
      <c r="AK22" s="260"/>
      <c r="AL22" s="260"/>
      <c r="AM22" s="260"/>
      <c r="AN22" s="260"/>
    </row>
    <row r="23" spans="1:40" ht="18" x14ac:dyDescent="0.2">
      <c r="B23" s="246"/>
      <c r="C23" s="252" t="s">
        <v>169</v>
      </c>
      <c r="D23" s="1280" t="s">
        <v>465</v>
      </c>
      <c r="E23" s="1281"/>
      <c r="F23" s="251"/>
      <c r="G23" s="246"/>
      <c r="H23" s="252" t="s">
        <v>170</v>
      </c>
      <c r="I23" s="1282">
        <v>3412.3</v>
      </c>
      <c r="J23" s="1283"/>
      <c r="K23" s="251"/>
      <c r="L23" s="246"/>
      <c r="M23" s="252" t="s">
        <v>171</v>
      </c>
      <c r="N23" s="1284">
        <f>I23</f>
        <v>3412.3</v>
      </c>
      <c r="O23" s="1285"/>
      <c r="P23" s="247"/>
      <c r="Q23" s="247"/>
      <c r="R23" s="247"/>
      <c r="S23" s="305" t="s">
        <v>137</v>
      </c>
      <c r="T23" s="123"/>
      <c r="U23" s="307">
        <f>U22</f>
        <v>1</v>
      </c>
      <c r="V23" s="255"/>
      <c r="Y23" s="259"/>
      <c r="Z23" s="259"/>
      <c r="AA23" s="259"/>
      <c r="AB23" s="259"/>
      <c r="AC23" s="259"/>
      <c r="AD23" s="259"/>
      <c r="AE23" s="259"/>
      <c r="AF23" s="259"/>
      <c r="AG23" s="259"/>
      <c r="AH23" s="259"/>
      <c r="AI23" s="259"/>
      <c r="AJ23" s="259"/>
      <c r="AK23" s="260"/>
      <c r="AL23" s="260"/>
      <c r="AM23" s="260"/>
      <c r="AN23" s="260"/>
    </row>
    <row r="24" spans="1:40" ht="18.75" thickBot="1" x14ac:dyDescent="0.25">
      <c r="B24" s="246"/>
      <c r="C24" s="252" t="s">
        <v>172</v>
      </c>
      <c r="D24" s="1266">
        <v>3412.3</v>
      </c>
      <c r="E24" s="1267"/>
      <c r="F24" s="251"/>
      <c r="G24" s="246"/>
      <c r="H24" s="252" t="s">
        <v>329</v>
      </c>
      <c r="I24" s="308">
        <f>IFERROR(I23/D24,"-")</f>
        <v>1</v>
      </c>
      <c r="J24" s="309"/>
      <c r="K24" s="251"/>
      <c r="L24" s="246"/>
      <c r="M24" s="252" t="s">
        <v>173</v>
      </c>
      <c r="N24" s="308">
        <f>I23/N23</f>
        <v>1</v>
      </c>
      <c r="O24" s="310"/>
      <c r="P24" s="247"/>
      <c r="Q24" s="247"/>
      <c r="R24" s="247"/>
      <c r="S24" s="311" t="s">
        <v>138</v>
      </c>
      <c r="T24" s="312"/>
      <c r="U24" s="313">
        <f>U22/U23</f>
        <v>1</v>
      </c>
      <c r="V24" s="255"/>
      <c r="Y24" s="259"/>
      <c r="Z24" s="259"/>
      <c r="AA24" s="259"/>
      <c r="AB24" s="259"/>
      <c r="AC24" s="259"/>
      <c r="AD24" s="259"/>
      <c r="AE24" s="259"/>
      <c r="AF24" s="259"/>
      <c r="AG24" s="259"/>
      <c r="AH24" s="259"/>
      <c r="AI24" s="259"/>
      <c r="AJ24" s="259"/>
      <c r="AK24" s="260"/>
      <c r="AL24" s="260"/>
      <c r="AM24" s="260"/>
      <c r="AN24" s="260"/>
    </row>
    <row r="25" spans="1:40" ht="18.75" thickBot="1" x14ac:dyDescent="0.25">
      <c r="B25" s="256"/>
      <c r="C25" s="247"/>
      <c r="D25" s="247"/>
      <c r="E25" s="247"/>
      <c r="F25" s="247"/>
      <c r="G25" s="247"/>
      <c r="H25" s="247"/>
      <c r="I25" s="245"/>
      <c r="J25" s="246"/>
      <c r="K25" s="246"/>
      <c r="L25" s="246"/>
      <c r="M25" s="246"/>
      <c r="N25" s="246"/>
      <c r="O25" s="247"/>
      <c r="P25" s="247"/>
      <c r="Q25" s="247"/>
      <c r="R25" s="247"/>
      <c r="S25" s="247"/>
      <c r="T25" s="255"/>
      <c r="U25" s="255"/>
      <c r="V25" s="255"/>
      <c r="Y25" s="259"/>
      <c r="Z25" s="259"/>
      <c r="AA25" s="259"/>
      <c r="AB25" s="259"/>
      <c r="AC25" s="259"/>
      <c r="AD25" s="259"/>
      <c r="AE25" s="259"/>
      <c r="AF25" s="259"/>
      <c r="AG25" s="259"/>
      <c r="AH25" s="259"/>
      <c r="AI25" s="259"/>
      <c r="AJ25" s="259"/>
      <c r="AK25" s="260"/>
      <c r="AL25" s="260"/>
      <c r="AM25" s="260"/>
      <c r="AN25" s="260"/>
    </row>
    <row r="26" spans="1:40" ht="36.75" customHeight="1" thickBot="1" x14ac:dyDescent="0.25">
      <c r="A26" s="314"/>
      <c r="B26" s="315" t="s">
        <v>174</v>
      </c>
      <c r="C26" s="315"/>
      <c r="D26" s="315"/>
      <c r="E26" s="315"/>
      <c r="F26" s="315"/>
      <c r="G26" s="315"/>
      <c r="H26" s="315"/>
      <c r="I26" s="315"/>
      <c r="J26" s="316"/>
      <c r="K26" s="316"/>
      <c r="L26" s="316"/>
      <c r="M26" s="316"/>
      <c r="N26" s="316"/>
      <c r="O26" s="316"/>
      <c r="P26" s="316"/>
      <c r="Q26" s="317"/>
      <c r="R26" s="259"/>
      <c r="S26" s="259"/>
      <c r="T26" s="259"/>
      <c r="U26" s="259"/>
      <c r="AD26" s="259"/>
      <c r="AE26" s="259"/>
      <c r="AF26" s="259"/>
      <c r="AG26" s="259"/>
      <c r="AH26" s="259"/>
      <c r="AI26" s="259"/>
      <c r="AJ26" s="259"/>
      <c r="AK26" s="260"/>
      <c r="AL26" s="260"/>
      <c r="AM26" s="260"/>
      <c r="AN26" s="260"/>
    </row>
    <row r="27" spans="1:40" ht="14.25" customHeight="1" x14ac:dyDescent="0.2">
      <c r="A27" s="314"/>
      <c r="B27" s="1268" t="s">
        <v>175</v>
      </c>
      <c r="C27" s="1271" t="s">
        <v>176</v>
      </c>
      <c r="D27" s="1272"/>
      <c r="E27" s="1268" t="s">
        <v>288</v>
      </c>
      <c r="F27" s="1277" t="s">
        <v>327</v>
      </c>
      <c r="G27" s="1277" t="s">
        <v>326</v>
      </c>
      <c r="H27" s="1277" t="s">
        <v>386</v>
      </c>
      <c r="I27" s="1286" t="s">
        <v>385</v>
      </c>
      <c r="J27" s="979" t="s">
        <v>415</v>
      </c>
      <c r="K27" s="980"/>
      <c r="L27" s="969" t="s">
        <v>399</v>
      </c>
      <c r="M27" s="970"/>
      <c r="N27" s="970"/>
      <c r="O27" s="970"/>
      <c r="P27" s="970"/>
      <c r="Q27" s="971"/>
      <c r="R27" s="259"/>
      <c r="S27" s="259"/>
      <c r="T27" s="259"/>
      <c r="U27" s="259"/>
      <c r="AD27" s="259"/>
      <c r="AE27" s="259"/>
      <c r="AF27" s="259"/>
      <c r="AG27" s="259"/>
      <c r="AH27" s="259"/>
      <c r="AI27" s="259"/>
      <c r="AJ27" s="259"/>
      <c r="AK27" s="260"/>
      <c r="AL27" s="260"/>
      <c r="AM27" s="260"/>
      <c r="AN27" s="260"/>
    </row>
    <row r="28" spans="1:40" ht="14.25" customHeight="1" thickBot="1" x14ac:dyDescent="0.25">
      <c r="A28" s="314"/>
      <c r="B28" s="1269"/>
      <c r="C28" s="1273"/>
      <c r="D28" s="1274"/>
      <c r="E28" s="1269"/>
      <c r="F28" s="1278"/>
      <c r="G28" s="1278"/>
      <c r="H28" s="1278"/>
      <c r="I28" s="1287"/>
      <c r="J28" s="981" t="s">
        <v>416</v>
      </c>
      <c r="K28" s="948"/>
      <c r="L28" s="961" t="s">
        <v>177</v>
      </c>
      <c r="M28" s="962"/>
      <c r="N28" s="963" t="s">
        <v>178</v>
      </c>
      <c r="O28" s="964"/>
      <c r="P28" s="1190" t="s">
        <v>163</v>
      </c>
      <c r="Q28" s="1191"/>
      <c r="R28" s="259"/>
      <c r="S28" s="259"/>
      <c r="T28" s="259"/>
      <c r="U28" s="259"/>
      <c r="AD28" s="259"/>
      <c r="AE28" s="259"/>
      <c r="AF28" s="259"/>
      <c r="AG28" s="259"/>
      <c r="AH28" s="259"/>
      <c r="AI28" s="259"/>
      <c r="AJ28" s="259"/>
      <c r="AK28" s="260"/>
      <c r="AL28" s="260"/>
      <c r="AM28" s="260"/>
      <c r="AN28" s="260"/>
    </row>
    <row r="29" spans="1:40" ht="38.25" x14ac:dyDescent="0.2">
      <c r="A29" s="314"/>
      <c r="B29" s="1270"/>
      <c r="C29" s="1275"/>
      <c r="D29" s="1276"/>
      <c r="E29" s="1270"/>
      <c r="F29" s="1279"/>
      <c r="G29" s="1279"/>
      <c r="H29" s="1279"/>
      <c r="I29" s="1288"/>
      <c r="J29" s="953" t="s">
        <v>330</v>
      </c>
      <c r="K29" s="337" t="s">
        <v>331</v>
      </c>
      <c r="L29" s="956" t="s">
        <v>179</v>
      </c>
      <c r="M29" s="957" t="s">
        <v>180</v>
      </c>
      <c r="N29" s="958" t="s">
        <v>179</v>
      </c>
      <c r="O29" s="959" t="s">
        <v>181</v>
      </c>
      <c r="P29" s="960" t="s">
        <v>179</v>
      </c>
      <c r="Q29" s="960" t="s">
        <v>335</v>
      </c>
      <c r="R29" s="259"/>
      <c r="S29" s="259"/>
      <c r="T29" s="259"/>
      <c r="U29" s="259"/>
      <c r="AD29" s="259"/>
      <c r="AE29" s="259"/>
      <c r="AF29" s="259"/>
      <c r="AG29" s="259"/>
      <c r="AH29" s="259"/>
      <c r="AI29" s="259"/>
      <c r="AJ29" s="259"/>
      <c r="AK29" s="260"/>
      <c r="AL29" s="260"/>
      <c r="AM29" s="260"/>
      <c r="AN29" s="260"/>
    </row>
    <row r="30" spans="1:40" ht="15" customHeight="1" thickBot="1" x14ac:dyDescent="0.25">
      <c r="A30" s="314"/>
      <c r="B30" s="322"/>
      <c r="C30" s="1200"/>
      <c r="D30" s="1201"/>
      <c r="E30" s="323" t="s">
        <v>64</v>
      </c>
      <c r="F30" s="324" t="s">
        <v>182</v>
      </c>
      <c r="G30" s="324" t="s">
        <v>64</v>
      </c>
      <c r="H30" s="324" t="s">
        <v>183</v>
      </c>
      <c r="I30" s="951" t="s">
        <v>158</v>
      </c>
      <c r="J30" s="954" t="s">
        <v>183</v>
      </c>
      <c r="K30" s="718" t="s">
        <v>64</v>
      </c>
      <c r="L30" s="780" t="s">
        <v>64</v>
      </c>
      <c r="M30" s="784" t="s">
        <v>183</v>
      </c>
      <c r="N30" s="782" t="s">
        <v>64</v>
      </c>
      <c r="O30" s="785" t="s">
        <v>183</v>
      </c>
      <c r="P30" s="788" t="s">
        <v>64</v>
      </c>
      <c r="Q30" s="788" t="s">
        <v>68</v>
      </c>
      <c r="R30" s="259"/>
      <c r="S30" s="259"/>
      <c r="T30" s="259"/>
      <c r="U30" s="259"/>
      <c r="AD30" s="259"/>
      <c r="AE30" s="259"/>
      <c r="AF30" s="259"/>
      <c r="AG30" s="259"/>
      <c r="AH30" s="259"/>
      <c r="AI30" s="259"/>
      <c r="AJ30" s="259"/>
      <c r="AK30" s="260"/>
      <c r="AL30" s="260"/>
      <c r="AM30" s="260"/>
      <c r="AN30" s="260"/>
    </row>
    <row r="31" spans="1:40" ht="45.6" customHeight="1" x14ac:dyDescent="0.2">
      <c r="A31" s="314"/>
      <c r="B31" s="325" t="s">
        <v>184</v>
      </c>
      <c r="C31" s="1195" t="s">
        <v>185</v>
      </c>
      <c r="D31" s="1196"/>
      <c r="E31" s="424">
        <f>INDEX('Referenčne količine'!$D28:$G28,MATCH(ObračunOB001!$C$3,'Referenčne količine'!$D$6:$G$6))</f>
        <v>101859.95399999998</v>
      </c>
      <c r="F31" s="1208">
        <f>INDEX('Referenčne količine'!$D33:$G33,MATCH(ObračunOB001!$C$3,'Referenčne količine'!$D$6:$G$6))/1000</f>
        <v>0.1369050778153294</v>
      </c>
      <c r="G31" s="977">
        <f>INDEX('Referenčne količine'!$D21:$G21,MATCH(ObračunOB001!$C$3,'Referenčne količine'!$D$6:$G$6))</f>
        <v>121262.09285762922</v>
      </c>
      <c r="H31" s="1211">
        <f>INDEX('Referenčne količine'!$D32:$G32,MATCH(ObračunOB001!$C$3,'Referenčne količine'!$D$6:$G$6))/1000</f>
        <v>0.11500003504812108</v>
      </c>
      <c r="I31" s="1024">
        <f>G31*$H$31</f>
        <v>13945.144928635873</v>
      </c>
      <c r="J31" s="1292" t="e">
        <f ca="1">ROUND(Q35/K35,6)</f>
        <v>#DIV/0!</v>
      </c>
      <c r="K31" s="965" cm="1">
        <f t="array" aca="1" ref="K31" ca="1">ROUND(INDIRECT($C$3&amp;"!J87"),0)</f>
        <v>0</v>
      </c>
      <c r="L31" s="982" cm="1">
        <f t="array" aca="1" ref="L31" ca="1">ROUND(INDIRECT($C$3&amp;"!J84"),0)</f>
        <v>0</v>
      </c>
      <c r="M31" s="1192" cm="1">
        <f t="array" aca="1" ref="M31" ca="1">ROUND(INDIRECT($C$3&amp;"!e62")/1000,6)</f>
        <v>0.16700000000000001</v>
      </c>
      <c r="N31" s="985" cm="1">
        <f t="array" aca="1" ref="N31" ca="1">ROUND(INDIRECT($C$3&amp;"!J83"),0)</f>
        <v>0</v>
      </c>
      <c r="O31" s="1197" cm="1">
        <f t="array" aca="1" ref="O31" ca="1">ROUND(INDIRECT($C$3&amp;"!e61")/1000,6)</f>
        <v>0.115</v>
      </c>
      <c r="P31" s="989">
        <f ca="1">L31+N31</f>
        <v>0</v>
      </c>
      <c r="Q31" s="791">
        <f ca="1">L31*$M$31+N31*$O$31</f>
        <v>0</v>
      </c>
      <c r="R31" s="259"/>
      <c r="S31" s="259"/>
      <c r="T31" s="259"/>
      <c r="U31" s="259"/>
      <c r="AD31" s="259"/>
      <c r="AE31" s="259"/>
      <c r="AF31" s="259"/>
      <c r="AG31" s="259"/>
      <c r="AH31" s="259"/>
      <c r="AI31" s="259"/>
      <c r="AJ31" s="259"/>
      <c r="AK31" s="260"/>
      <c r="AL31" s="260"/>
      <c r="AM31" s="260"/>
      <c r="AN31" s="260"/>
    </row>
    <row r="32" spans="1:40" ht="45.6" customHeight="1" x14ac:dyDescent="0.2">
      <c r="A32" s="314"/>
      <c r="B32" s="325" t="s">
        <v>184</v>
      </c>
      <c r="C32" s="1195" t="s">
        <v>186</v>
      </c>
      <c r="D32" s="1196"/>
      <c r="E32" s="326">
        <f>INDEX('Referenčne količine'!$D29:$G29,MATCH(ObračunOB001!$C$3,'Referenčne količine'!$D$6:$G$6))</f>
        <v>17975.285999999996</v>
      </c>
      <c r="F32" s="1209">
        <f>INDEX('Referenčne količine'!$D29:$G29,MATCH(ObračunOB001!$C$3,'Referenčne količine'!$D$6:$G$6))</f>
        <v>17975.285999999996</v>
      </c>
      <c r="G32" s="327">
        <f>INDEX('Referenčne količine'!$D22:$G22,MATCH(ObračunOB001!$C$3,'Referenčne količine'!$D$6:$G$6))</f>
        <v>21399.192857228685</v>
      </c>
      <c r="H32" s="1212"/>
      <c r="I32" s="1025">
        <f t="shared" ref="I32:I33" si="0">G32*$H$31</f>
        <v>2460.9079285828011</v>
      </c>
      <c r="J32" s="1293"/>
      <c r="K32" s="966" cm="1">
        <f t="array" aca="1" ref="K32" ca="1">ROUND(INDIRECT($C$3&amp;"!k87"),0)</f>
        <v>0</v>
      </c>
      <c r="L32" s="983" cm="1">
        <f t="array" aca="1" ref="L32" ca="1">ROUND(INDIRECT($C$3&amp;"!K84"),0)</f>
        <v>0</v>
      </c>
      <c r="M32" s="1193"/>
      <c r="N32" s="986" cm="1">
        <f t="array" aca="1" ref="N32" ca="1">ROUND(INDIRECT($C$3&amp;"!K83"),0)</f>
        <v>0</v>
      </c>
      <c r="O32" s="1198"/>
      <c r="P32" s="990">
        <f t="shared" ref="P32:P33" ca="1" si="1">L32+N32</f>
        <v>0</v>
      </c>
      <c r="Q32" s="792">
        <f ca="1">L32*$M$31+N32*$O$31</f>
        <v>0</v>
      </c>
      <c r="R32" s="329"/>
      <c r="S32" s="329"/>
      <c r="T32" s="329"/>
      <c r="U32" s="329"/>
      <c r="AD32" s="329"/>
      <c r="AE32" s="329"/>
      <c r="AF32" s="329"/>
      <c r="AG32" s="329"/>
      <c r="AH32" s="329"/>
      <c r="AI32" s="329"/>
      <c r="AJ32" s="259"/>
      <c r="AK32" s="260"/>
      <c r="AL32" s="260"/>
      <c r="AM32" s="260"/>
      <c r="AN32" s="260"/>
    </row>
    <row r="33" spans="1:42" ht="45.6" customHeight="1" x14ac:dyDescent="0.2">
      <c r="A33" s="314"/>
      <c r="B33" s="726" t="s">
        <v>187</v>
      </c>
      <c r="C33" s="1195" t="s">
        <v>384</v>
      </c>
      <c r="D33" s="1196"/>
      <c r="E33" s="326">
        <f>INDEX('Referenčne količine'!$D30:$G30,MATCH(ObračunOB001!$C$3,'Referenčne količine'!$D$6:$G$6))</f>
        <v>0</v>
      </c>
      <c r="F33" s="1209">
        <f>INDEX('Referenčne količine'!$D30:$G30,MATCH(ObračunOB001!$C$3,'Referenčne količine'!$D$6:$G$6))</f>
        <v>0</v>
      </c>
      <c r="G33" s="327">
        <f>INDEX('Referenčne količine'!$D23:$G23,MATCH(ObračunOB001!$C$3,'Referenčne količine'!$D$6:$G$6))</f>
        <v>0</v>
      </c>
      <c r="H33" s="1212"/>
      <c r="I33" s="1025">
        <f t="shared" si="0"/>
        <v>0</v>
      </c>
      <c r="J33" s="1293"/>
      <c r="K33" s="966" cm="1">
        <f t="array" aca="1" ref="K33" ca="1">ROUND(INDIRECT($C$3&amp;"!L87"),0)</f>
        <v>0</v>
      </c>
      <c r="L33" s="983" cm="1">
        <f t="array" aca="1" ref="L33" ca="1">ROUND(INDIRECT($C$3&amp;"!L84"),0)</f>
        <v>0</v>
      </c>
      <c r="M33" s="1193"/>
      <c r="N33" s="986" cm="1">
        <f t="array" aca="1" ref="N33" ca="1">ROUND(INDIRECT($C$3&amp;"!L83"),0)</f>
        <v>0</v>
      </c>
      <c r="O33" s="1198"/>
      <c r="P33" s="990">
        <f t="shared" ca="1" si="1"/>
        <v>0</v>
      </c>
      <c r="Q33" s="792">
        <f ca="1">L33*$M$31+N33*$O$31</f>
        <v>0</v>
      </c>
      <c r="R33" s="259"/>
      <c r="S33" s="259"/>
      <c r="T33" s="259"/>
      <c r="U33" s="259"/>
      <c r="AD33" s="259"/>
      <c r="AE33" s="259"/>
      <c r="AF33" s="259"/>
      <c r="AG33" s="259"/>
      <c r="AH33" s="259"/>
      <c r="AI33" s="259"/>
      <c r="AJ33" s="259"/>
      <c r="AK33" s="260"/>
      <c r="AL33" s="260"/>
      <c r="AM33" s="260"/>
      <c r="AN33" s="260"/>
    </row>
    <row r="34" spans="1:42" ht="45.6" customHeight="1" thickBot="1" x14ac:dyDescent="0.25">
      <c r="A34" s="314"/>
      <c r="B34" s="725"/>
      <c r="C34" s="1206"/>
      <c r="D34" s="1207"/>
      <c r="E34" s="724"/>
      <c r="F34" s="1210">
        <f>INDEX('Referenčne količine'!$D31:$G31,MATCH(ObračunOB001!$C$3,'Referenčne količine'!$D$6:$G$6))</f>
        <v>0</v>
      </c>
      <c r="G34" s="978"/>
      <c r="H34" s="1213"/>
      <c r="I34" s="1026"/>
      <c r="J34" s="1294"/>
      <c r="K34" s="967"/>
      <c r="L34" s="984"/>
      <c r="M34" s="1194"/>
      <c r="N34" s="987"/>
      <c r="O34" s="1199"/>
      <c r="P34" s="991"/>
      <c r="Q34" s="793"/>
      <c r="R34" s="259"/>
      <c r="S34" s="259"/>
      <c r="T34" s="259"/>
      <c r="U34" s="259"/>
      <c r="AD34" s="259"/>
      <c r="AE34" s="259"/>
      <c r="AF34" s="259"/>
      <c r="AG34" s="259"/>
      <c r="AH34" s="259"/>
      <c r="AI34" s="259"/>
      <c r="AJ34" s="259"/>
      <c r="AK34" s="260"/>
      <c r="AL34" s="260"/>
      <c r="AM34" s="260"/>
      <c r="AN34" s="260"/>
    </row>
    <row r="35" spans="1:42" ht="34.5" customHeight="1" thickBot="1" x14ac:dyDescent="0.25">
      <c r="A35" s="314"/>
      <c r="B35" s="1203" t="s">
        <v>163</v>
      </c>
      <c r="C35" s="1204"/>
      <c r="D35" s="1205"/>
      <c r="E35" s="330">
        <f>SUM(E31:E34)</f>
        <v>119835.23999999998</v>
      </c>
      <c r="F35" s="331"/>
      <c r="G35" s="332">
        <f>SUM(G31:G34)</f>
        <v>142661.28571485792</v>
      </c>
      <c r="H35" s="333"/>
      <c r="I35" s="952">
        <f>SUM(I31:I34)</f>
        <v>16406.052857218674</v>
      </c>
      <c r="J35" s="955"/>
      <c r="K35" s="968">
        <f ca="1">SUM(K31:K34)</f>
        <v>0</v>
      </c>
      <c r="L35" s="781">
        <f ca="1">SUM(L31:L34)</f>
        <v>0</v>
      </c>
      <c r="M35" s="786"/>
      <c r="N35" s="988">
        <f ca="1">SUM(N31:N34)</f>
        <v>0</v>
      </c>
      <c r="O35" s="787"/>
      <c r="P35" s="789">
        <f ca="1">SUM(P31:P34)</f>
        <v>0</v>
      </c>
      <c r="Q35" s="790">
        <f ca="1">SUM(Q31:Q34)</f>
        <v>0</v>
      </c>
      <c r="R35" s="259"/>
      <c r="S35" s="259"/>
      <c r="T35" s="259"/>
      <c r="U35" s="259"/>
      <c r="AD35" s="259"/>
      <c r="AE35" s="259"/>
      <c r="AF35" s="259"/>
      <c r="AG35" s="259"/>
      <c r="AH35" s="259"/>
      <c r="AI35" s="259"/>
      <c r="AJ35" s="259"/>
      <c r="AK35" s="260"/>
      <c r="AL35" s="260"/>
      <c r="AM35" s="260"/>
      <c r="AN35" s="260"/>
    </row>
    <row r="36" spans="1:42" ht="18.75" thickBot="1" x14ac:dyDescent="0.25">
      <c r="B36" s="256"/>
      <c r="C36" s="247"/>
      <c r="D36" s="247"/>
      <c r="E36" s="247"/>
      <c r="F36" s="247"/>
      <c r="G36" s="247"/>
      <c r="H36" s="247"/>
      <c r="I36" s="245"/>
      <c r="J36" s="246"/>
      <c r="K36" s="246"/>
      <c r="L36" s="246"/>
      <c r="M36" s="246"/>
      <c r="N36" s="246"/>
      <c r="O36" s="247"/>
      <c r="P36" s="247"/>
      <c r="Q36" s="247"/>
      <c r="R36" s="247"/>
      <c r="S36" s="247"/>
      <c r="T36" s="255"/>
      <c r="U36" s="255"/>
      <c r="V36" s="255"/>
      <c r="Y36" s="259"/>
      <c r="Z36" s="259"/>
      <c r="AA36" s="259"/>
      <c r="AB36" s="259"/>
      <c r="AC36" s="259"/>
      <c r="AD36" s="259"/>
      <c r="AE36" s="259"/>
      <c r="AF36" s="259"/>
      <c r="AG36" s="259"/>
      <c r="AH36" s="259"/>
      <c r="AI36" s="259"/>
      <c r="AJ36" s="259"/>
      <c r="AK36" s="260"/>
      <c r="AL36" s="260"/>
      <c r="AM36" s="260"/>
      <c r="AN36" s="260"/>
    </row>
    <row r="37" spans="1:42" ht="18" customHeight="1" thickBot="1" x14ac:dyDescent="0.25">
      <c r="A37" s="314"/>
      <c r="B37" s="1307" t="s">
        <v>175</v>
      </c>
      <c r="C37" s="1271" t="s">
        <v>176</v>
      </c>
      <c r="D37" s="1272"/>
      <c r="E37" s="748" t="s">
        <v>417</v>
      </c>
      <c r="F37" s="949"/>
      <c r="G37" s="949"/>
      <c r="H37" s="949"/>
      <c r="I37" s="949"/>
      <c r="J37" s="949"/>
      <c r="K37" s="949"/>
      <c r="L37" s="949"/>
      <c r="M37" s="950"/>
      <c r="S37" s="255"/>
      <c r="T37" s="255"/>
      <c r="U37" s="255"/>
      <c r="V37" s="255"/>
      <c r="Y37" s="259"/>
      <c r="Z37" s="259"/>
      <c r="AA37" s="259"/>
      <c r="AB37" s="259"/>
      <c r="AC37" s="259"/>
      <c r="AD37" s="259"/>
      <c r="AE37" s="259"/>
      <c r="AF37" s="259"/>
      <c r="AG37" s="259"/>
      <c r="AH37" s="259"/>
      <c r="AI37" s="259"/>
      <c r="AJ37" s="259"/>
      <c r="AK37" s="260"/>
      <c r="AL37" s="260"/>
      <c r="AM37" s="260"/>
      <c r="AN37" s="260"/>
    </row>
    <row r="38" spans="1:42" ht="38.25" x14ac:dyDescent="0.2">
      <c r="A38" s="314"/>
      <c r="B38" s="1308"/>
      <c r="C38" s="1275"/>
      <c r="D38" s="1276"/>
      <c r="E38" s="338" t="s">
        <v>400</v>
      </c>
      <c r="F38" s="336" t="s">
        <v>401</v>
      </c>
      <c r="G38" s="337" t="s">
        <v>402</v>
      </c>
      <c r="H38" s="338" t="s">
        <v>190</v>
      </c>
      <c r="I38" s="336" t="s">
        <v>191</v>
      </c>
      <c r="J38" s="339" t="s">
        <v>192</v>
      </c>
      <c r="K38" s="340" t="s">
        <v>193</v>
      </c>
      <c r="L38" s="337" t="s">
        <v>194</v>
      </c>
      <c r="M38" s="341" t="s">
        <v>195</v>
      </c>
      <c r="S38" s="255"/>
      <c r="T38" s="255"/>
      <c r="U38" s="255"/>
      <c r="V38" s="255"/>
      <c r="W38" s="255"/>
      <c r="X38" s="255"/>
      <c r="AJ38" s="259"/>
      <c r="AK38" s="259"/>
      <c r="AL38" s="259"/>
      <c r="AM38" s="260"/>
      <c r="AN38" s="260"/>
      <c r="AO38" s="260"/>
      <c r="AP38" s="260"/>
    </row>
    <row r="39" spans="1:42" ht="18.75" thickBot="1" x14ac:dyDescent="0.25">
      <c r="A39" s="314"/>
      <c r="B39" s="322"/>
      <c r="C39" s="1200"/>
      <c r="D39" s="1201"/>
      <c r="E39" s="323" t="s">
        <v>64</v>
      </c>
      <c r="F39" s="324" t="s">
        <v>64</v>
      </c>
      <c r="G39" s="562" t="s">
        <v>64</v>
      </c>
      <c r="H39" s="323" t="s">
        <v>64</v>
      </c>
      <c r="I39" s="324" t="s">
        <v>64</v>
      </c>
      <c r="J39" s="344" t="s">
        <v>64</v>
      </c>
      <c r="K39" s="322" t="s">
        <v>158</v>
      </c>
      <c r="L39" s="732" t="s">
        <v>158</v>
      </c>
      <c r="M39" s="345" t="s">
        <v>158</v>
      </c>
      <c r="S39" s="255"/>
      <c r="T39" s="255"/>
      <c r="U39" s="255"/>
      <c r="V39" s="255"/>
      <c r="W39" s="255"/>
      <c r="X39" s="255"/>
      <c r="Y39" s="346"/>
      <c r="Z39" s="346"/>
      <c r="AA39" s="346"/>
      <c r="AB39" s="346"/>
      <c r="AC39" s="346"/>
      <c r="AD39" s="346"/>
      <c r="AE39" s="346"/>
      <c r="AF39" s="346"/>
      <c r="AG39" s="346"/>
      <c r="AH39" s="346"/>
      <c r="AI39" s="346"/>
      <c r="AJ39" s="347"/>
      <c r="AK39" s="347"/>
      <c r="AL39" s="347"/>
      <c r="AM39" s="260"/>
      <c r="AN39" s="260"/>
      <c r="AO39" s="260"/>
      <c r="AP39" s="260"/>
    </row>
    <row r="40" spans="1:42" ht="39.75" customHeight="1" x14ac:dyDescent="0.2">
      <c r="A40" s="314"/>
      <c r="B40" s="726" t="s">
        <v>184</v>
      </c>
      <c r="C40" s="1195" t="s">
        <v>185</v>
      </c>
      <c r="D40" s="1202"/>
      <c r="E40" s="1003">
        <f ca="1">E31-K31</f>
        <v>101859.95399999998</v>
      </c>
      <c r="F40" s="1004" t="s">
        <v>135</v>
      </c>
      <c r="G40" s="1014">
        <f ca="1">SUM(E40:F40)</f>
        <v>101859.95399999998</v>
      </c>
      <c r="H40" s="1003">
        <f ca="1">G31-P31</f>
        <v>121262.09285762922</v>
      </c>
      <c r="I40" s="1004" t="s">
        <v>135</v>
      </c>
      <c r="J40" s="1015">
        <f ca="1">SUM(H40:I40)</f>
        <v>121262.09285762922</v>
      </c>
      <c r="K40" s="564">
        <f ca="1">I31-Q31</f>
        <v>13945.144928635873</v>
      </c>
      <c r="L40" s="972" t="s">
        <v>135</v>
      </c>
      <c r="M40" s="349">
        <f ca="1">SUM(K40:L40)</f>
        <v>13945.144928635873</v>
      </c>
      <c r="S40" s="255"/>
      <c r="T40" s="255"/>
      <c r="U40" s="255"/>
      <c r="V40" s="255"/>
      <c r="W40" s="255"/>
      <c r="X40" s="255"/>
      <c r="Y40" s="350"/>
      <c r="AJ40" s="351"/>
      <c r="AK40" s="259"/>
      <c r="AL40" s="352"/>
      <c r="AM40" s="353"/>
      <c r="AN40" s="260"/>
      <c r="AO40" s="260"/>
      <c r="AP40" s="260"/>
    </row>
    <row r="41" spans="1:42" ht="39.75" customHeight="1" x14ac:dyDescent="0.2">
      <c r="A41" s="314"/>
      <c r="B41" s="726" t="s">
        <v>184</v>
      </c>
      <c r="C41" s="1195" t="s">
        <v>186</v>
      </c>
      <c r="D41" s="1202"/>
      <c r="E41" s="1005">
        <f ca="1">E32-K32</f>
        <v>17975.285999999996</v>
      </c>
      <c r="F41" s="1006" t="s">
        <v>135</v>
      </c>
      <c r="G41" s="1008">
        <f ca="1">SUM(E41:F41)</f>
        <v>17975.285999999996</v>
      </c>
      <c r="H41" s="1005">
        <f ca="1">G32-P32</f>
        <v>21399.192857228685</v>
      </c>
      <c r="I41" s="1006" t="s">
        <v>135</v>
      </c>
      <c r="J41" s="1016">
        <f ca="1">SUM(H41:I41)</f>
        <v>21399.192857228685</v>
      </c>
      <c r="K41" s="565">
        <f ca="1">I32-Q32</f>
        <v>2460.9079285828011</v>
      </c>
      <c r="L41" s="973" t="s">
        <v>135</v>
      </c>
      <c r="M41" s="355">
        <f ca="1">SUM(K41:L41)</f>
        <v>2460.9079285828011</v>
      </c>
      <c r="S41" s="255"/>
      <c r="T41" s="255"/>
      <c r="U41" s="255"/>
      <c r="V41" s="255"/>
      <c r="W41" s="255"/>
      <c r="X41" s="255"/>
      <c r="Y41" s="350"/>
      <c r="Z41" s="350"/>
      <c r="AA41" s="350"/>
      <c r="AB41" s="350"/>
      <c r="AC41" s="350"/>
      <c r="AD41" s="350"/>
      <c r="AE41" s="350"/>
      <c r="AF41" s="350"/>
      <c r="AG41" s="350"/>
      <c r="AH41" s="350"/>
      <c r="AI41" s="350"/>
      <c r="AJ41" s="351"/>
      <c r="AK41" s="259"/>
      <c r="AL41" s="352"/>
      <c r="AM41" s="353"/>
      <c r="AN41" s="260"/>
      <c r="AO41" s="260"/>
      <c r="AP41" s="260"/>
    </row>
    <row r="42" spans="1:42" ht="39.75" customHeight="1" x14ac:dyDescent="0.2">
      <c r="A42" s="314"/>
      <c r="B42" s="726" t="s">
        <v>187</v>
      </c>
      <c r="C42" s="1195" t="s">
        <v>384</v>
      </c>
      <c r="D42" s="1196"/>
      <c r="E42" s="1007" t="s">
        <v>135</v>
      </c>
      <c r="F42" s="1017">
        <f ca="1">E33-K33</f>
        <v>0</v>
      </c>
      <c r="G42" s="1008">
        <f ca="1">SUM(E42:F42)</f>
        <v>0</v>
      </c>
      <c r="H42" s="1007" t="s">
        <v>135</v>
      </c>
      <c r="I42" s="731">
        <f ca="1">G33-P33</f>
        <v>0</v>
      </c>
      <c r="J42" s="1016">
        <f ca="1">SUM(H42:I42)</f>
        <v>0</v>
      </c>
      <c r="K42" s="752" t="s">
        <v>135</v>
      </c>
      <c r="L42" s="974">
        <f ca="1">I33-Q33</f>
        <v>0</v>
      </c>
      <c r="M42" s="581">
        <f ca="1">ROUND(SUM(K42:L42),2)</f>
        <v>0</v>
      </c>
      <c r="S42" s="255"/>
      <c r="T42" s="255"/>
      <c r="U42" s="255"/>
      <c r="V42" s="255"/>
      <c r="W42" s="255"/>
      <c r="X42" s="255"/>
      <c r="Y42" s="350"/>
      <c r="AJ42" s="351"/>
      <c r="AK42" s="357"/>
      <c r="AL42" s="352"/>
      <c r="AM42" s="353"/>
      <c r="AN42" s="260"/>
      <c r="AO42" s="260"/>
      <c r="AP42" s="260"/>
    </row>
    <row r="43" spans="1:42" ht="39.75" customHeight="1" thickBot="1" x14ac:dyDescent="0.25">
      <c r="A43" s="314"/>
      <c r="B43" s="725"/>
      <c r="C43" s="1206"/>
      <c r="D43" s="1291"/>
      <c r="E43" s="1009"/>
      <c r="F43" s="1018"/>
      <c r="G43" s="1010"/>
      <c r="H43" s="1009"/>
      <c r="I43" s="383"/>
      <c r="J43" s="1019"/>
      <c r="K43" s="753"/>
      <c r="L43" s="975"/>
      <c r="M43" s="976"/>
      <c r="S43" s="255"/>
      <c r="T43" s="255"/>
      <c r="U43" s="255"/>
      <c r="V43" s="255"/>
      <c r="W43" s="255"/>
      <c r="X43" s="255"/>
      <c r="Y43" s="350"/>
      <c r="AJ43" s="351"/>
      <c r="AK43" s="357"/>
      <c r="AL43" s="352"/>
      <c r="AM43" s="353"/>
      <c r="AN43" s="260"/>
      <c r="AO43" s="260"/>
      <c r="AP43" s="260"/>
    </row>
    <row r="44" spans="1:42" ht="40.5" customHeight="1" thickBot="1" x14ac:dyDescent="0.25">
      <c r="A44" s="314"/>
      <c r="B44" s="1203" t="s">
        <v>163</v>
      </c>
      <c r="C44" s="1204"/>
      <c r="D44" s="1205"/>
      <c r="E44" s="1020">
        <f t="shared" ref="E44:M44" ca="1" si="2">SUM(E40:E43)</f>
        <v>119835.23999999998</v>
      </c>
      <c r="F44" s="1021">
        <f t="shared" ca="1" si="2"/>
        <v>0</v>
      </c>
      <c r="G44" s="1022">
        <f t="shared" ca="1" si="2"/>
        <v>119835.23999999998</v>
      </c>
      <c r="H44" s="1020">
        <f t="shared" ca="1" si="2"/>
        <v>142661.28571485792</v>
      </c>
      <c r="I44" s="1021">
        <f t="shared" ca="1" si="2"/>
        <v>0</v>
      </c>
      <c r="J44" s="1023">
        <f t="shared" ca="1" si="2"/>
        <v>142661.28571485792</v>
      </c>
      <c r="K44" s="563">
        <f t="shared" ca="1" si="2"/>
        <v>16406.052857218674</v>
      </c>
      <c r="L44" s="477">
        <f t="shared" ca="1" si="2"/>
        <v>0</v>
      </c>
      <c r="M44" s="996">
        <f t="shared" ca="1" si="2"/>
        <v>16406.052857218674</v>
      </c>
      <c r="S44" s="255"/>
      <c r="T44" s="255"/>
      <c r="U44" s="255"/>
      <c r="V44" s="255"/>
      <c r="W44" s="255"/>
      <c r="X44" s="255"/>
      <c r="Y44" s="350"/>
      <c r="AJ44" s="350"/>
      <c r="AK44" s="259"/>
      <c r="AL44" s="352"/>
      <c r="AM44" s="353"/>
      <c r="AN44" s="260"/>
      <c r="AO44" s="260"/>
      <c r="AP44" s="260"/>
    </row>
    <row r="45" spans="1:42" ht="18" x14ac:dyDescent="0.2">
      <c r="B45" s="256"/>
      <c r="C45" s="247"/>
      <c r="D45" s="247"/>
      <c r="E45" s="247"/>
      <c r="F45" s="247"/>
      <c r="G45" s="247"/>
      <c r="H45" s="247"/>
      <c r="I45" s="247"/>
      <c r="J45" s="247"/>
      <c r="K45" s="247"/>
      <c r="L45" s="247"/>
      <c r="M45" s="247"/>
      <c r="N45" s="247"/>
      <c r="O45" s="247"/>
      <c r="P45" s="247"/>
      <c r="Q45" s="247"/>
      <c r="R45" s="255"/>
      <c r="S45" s="255"/>
      <c r="V45" s="255"/>
      <c r="Y45" s="357"/>
      <c r="Z45" s="259"/>
      <c r="AA45" s="259"/>
      <c r="AB45" s="259"/>
      <c r="AC45" s="259"/>
      <c r="AD45" s="259"/>
      <c r="AE45" s="259"/>
      <c r="AF45" s="259"/>
      <c r="AG45" s="259"/>
      <c r="AH45" s="259"/>
      <c r="AI45" s="259"/>
      <c r="AJ45" s="259"/>
      <c r="AK45" s="260"/>
      <c r="AL45" s="260"/>
      <c r="AM45" s="260"/>
      <c r="AN45" s="260"/>
    </row>
    <row r="46" spans="1:42" ht="18.75" thickBot="1" x14ac:dyDescent="0.25">
      <c r="B46" s="257" t="s">
        <v>196</v>
      </c>
      <c r="C46" s="247"/>
      <c r="D46" s="247"/>
      <c r="E46" s="247"/>
      <c r="F46" s="360"/>
      <c r="G46" s="247"/>
      <c r="H46" s="247"/>
      <c r="I46" s="245"/>
      <c r="J46" s="246"/>
      <c r="K46" s="246"/>
      <c r="L46" s="246"/>
      <c r="M46" s="246"/>
      <c r="N46" s="246"/>
      <c r="O46" s="247"/>
      <c r="P46" s="247"/>
      <c r="Q46" s="247"/>
      <c r="R46" s="247"/>
      <c r="S46" s="247"/>
      <c r="T46" s="255"/>
      <c r="U46" s="255"/>
      <c r="V46" s="255"/>
      <c r="Y46" s="259"/>
      <c r="Z46" s="357"/>
      <c r="AA46" s="357"/>
      <c r="AB46" s="357"/>
      <c r="AC46" s="357"/>
      <c r="AD46" s="357"/>
      <c r="AE46" s="357"/>
      <c r="AF46" s="357"/>
      <c r="AG46" s="357"/>
      <c r="AH46" s="357"/>
      <c r="AI46" s="357"/>
      <c r="AJ46" s="357"/>
      <c r="AK46" s="260"/>
      <c r="AL46" s="260"/>
      <c r="AM46" s="260"/>
      <c r="AN46" s="260"/>
    </row>
    <row r="47" spans="1:42" ht="36.75" customHeight="1" thickBot="1" x14ac:dyDescent="0.25">
      <c r="B47" s="361" t="s">
        <v>197</v>
      </c>
      <c r="C47" s="316"/>
      <c r="D47" s="316"/>
      <c r="E47" s="316"/>
      <c r="F47" s="316"/>
      <c r="G47" s="316"/>
      <c r="H47" s="316"/>
      <c r="I47" s="316"/>
      <c r="J47" s="316"/>
      <c r="K47" s="316"/>
      <c r="L47" s="316"/>
      <c r="M47" s="316"/>
      <c r="N47" s="316"/>
      <c r="O47" s="316"/>
      <c r="P47" s="316"/>
      <c r="Q47" s="317"/>
      <c r="R47" s="259"/>
      <c r="S47" s="259"/>
      <c r="T47" s="259"/>
      <c r="U47" s="259"/>
      <c r="AD47" s="259"/>
      <c r="AE47" s="259"/>
      <c r="AF47" s="259"/>
      <c r="AG47" s="259"/>
      <c r="AH47" s="259"/>
      <c r="AI47" s="259"/>
      <c r="AJ47" s="259"/>
      <c r="AK47" s="260"/>
      <c r="AL47" s="260"/>
      <c r="AM47" s="260"/>
      <c r="AN47" s="260"/>
    </row>
    <row r="48" spans="1:42" ht="45" customHeight="1" x14ac:dyDescent="0.2">
      <c r="B48" s="1269" t="s">
        <v>198</v>
      </c>
      <c r="C48" s="1278" t="s">
        <v>176</v>
      </c>
      <c r="D48" s="1301" t="s">
        <v>387</v>
      </c>
      <c r="E48" s="1268" t="s">
        <v>288</v>
      </c>
      <c r="F48" s="1277" t="s">
        <v>327</v>
      </c>
      <c r="G48" s="1277" t="s">
        <v>326</v>
      </c>
      <c r="H48" s="1277" t="s">
        <v>386</v>
      </c>
      <c r="I48" s="1302" t="s">
        <v>385</v>
      </c>
      <c r="J48" s="979" t="s">
        <v>415</v>
      </c>
      <c r="K48" s="980"/>
      <c r="L48" s="749" t="s">
        <v>334</v>
      </c>
      <c r="M48" s="750"/>
      <c r="N48" s="750"/>
      <c r="O48" s="750"/>
      <c r="P48" s="751"/>
      <c r="Q48" s="751"/>
      <c r="R48" s="259"/>
      <c r="S48" s="259"/>
      <c r="T48" s="259"/>
      <c r="U48" s="259"/>
      <c r="AD48" s="259"/>
      <c r="AE48" s="259"/>
      <c r="AF48" s="259"/>
      <c r="AG48" s="259"/>
      <c r="AH48" s="259"/>
      <c r="AI48" s="259"/>
      <c r="AJ48" s="259"/>
      <c r="AK48" s="260"/>
      <c r="AL48" s="260"/>
      <c r="AM48" s="260"/>
      <c r="AN48" s="260"/>
    </row>
    <row r="49" spans="2:42" ht="30" customHeight="1" thickBot="1" x14ac:dyDescent="0.25">
      <c r="B49" s="1269"/>
      <c r="C49" s="1278"/>
      <c r="D49" s="1301"/>
      <c r="E49" s="1269"/>
      <c r="F49" s="1278"/>
      <c r="G49" s="1278"/>
      <c r="H49" s="1278"/>
      <c r="I49" s="1303"/>
      <c r="J49" s="981" t="s">
        <v>416</v>
      </c>
      <c r="K49" s="948"/>
      <c r="L49" s="1305" t="s">
        <v>177</v>
      </c>
      <c r="M49" s="1306"/>
      <c r="N49" s="719" t="s">
        <v>178</v>
      </c>
      <c r="O49" s="992"/>
      <c r="P49" s="929" t="s">
        <v>163</v>
      </c>
      <c r="Q49" s="929"/>
      <c r="R49" s="259"/>
      <c r="S49" s="259"/>
      <c r="T49" s="259"/>
      <c r="U49" s="259"/>
      <c r="AD49" s="259"/>
      <c r="AE49" s="259"/>
      <c r="AF49" s="259"/>
      <c r="AG49" s="259"/>
      <c r="AH49" s="259"/>
      <c r="AI49" s="259"/>
      <c r="AJ49" s="259"/>
      <c r="AK49" s="260"/>
      <c r="AL49" s="260"/>
      <c r="AM49" s="260"/>
      <c r="AN49" s="260"/>
    </row>
    <row r="50" spans="2:42" ht="65.25" customHeight="1" x14ac:dyDescent="0.2">
      <c r="B50" s="1270"/>
      <c r="C50" s="1279"/>
      <c r="D50" s="1290"/>
      <c r="E50" s="1270"/>
      <c r="F50" s="1279"/>
      <c r="G50" s="1279"/>
      <c r="H50" s="1279"/>
      <c r="I50" s="1304"/>
      <c r="J50" s="953" t="s">
        <v>330</v>
      </c>
      <c r="K50" s="337" t="s">
        <v>331</v>
      </c>
      <c r="L50" s="319" t="s">
        <v>179</v>
      </c>
      <c r="M50" s="320" t="s">
        <v>180</v>
      </c>
      <c r="N50" s="321" t="s">
        <v>179</v>
      </c>
      <c r="O50" s="321" t="s">
        <v>181</v>
      </c>
      <c r="P50" s="930" t="s">
        <v>179</v>
      </c>
      <c r="Q50" s="339" t="s">
        <v>189</v>
      </c>
      <c r="R50" s="259"/>
      <c r="S50" s="259"/>
      <c r="T50" s="259"/>
      <c r="U50" s="259"/>
      <c r="AD50" s="259"/>
      <c r="AE50" s="259"/>
      <c r="AF50" s="259"/>
      <c r="AG50" s="259"/>
      <c r="AH50" s="259"/>
      <c r="AI50" s="259"/>
      <c r="AJ50" s="259"/>
      <c r="AK50" s="260"/>
      <c r="AL50" s="260"/>
      <c r="AM50" s="260"/>
      <c r="AN50" s="260"/>
    </row>
    <row r="51" spans="2:42" ht="15" customHeight="1" thickBot="1" x14ac:dyDescent="0.25">
      <c r="B51" s="362"/>
      <c r="C51" s="363"/>
      <c r="D51" s="322"/>
      <c r="E51" s="342" t="s">
        <v>64</v>
      </c>
      <c r="F51" s="343" t="s">
        <v>182</v>
      </c>
      <c r="G51" s="343" t="s">
        <v>64</v>
      </c>
      <c r="H51" s="343" t="s">
        <v>183</v>
      </c>
      <c r="I51" s="418" t="s">
        <v>158</v>
      </c>
      <c r="J51" s="954" t="s">
        <v>183</v>
      </c>
      <c r="K51" s="718" t="s">
        <v>64</v>
      </c>
      <c r="L51" s="780" t="s">
        <v>64</v>
      </c>
      <c r="M51" s="784" t="s">
        <v>183</v>
      </c>
      <c r="N51" s="782" t="s">
        <v>64</v>
      </c>
      <c r="O51" s="782" t="s">
        <v>183</v>
      </c>
      <c r="P51" s="931" t="s">
        <v>64</v>
      </c>
      <c r="Q51" s="375" t="s">
        <v>158</v>
      </c>
      <c r="R51" s="259"/>
      <c r="S51" s="259"/>
      <c r="T51" s="259"/>
      <c r="U51" s="259"/>
      <c r="AD51" s="259"/>
      <c r="AE51" s="259"/>
      <c r="AF51" s="259"/>
      <c r="AG51" s="259"/>
      <c r="AH51" s="259"/>
      <c r="AI51" s="259"/>
      <c r="AJ51" s="259"/>
      <c r="AK51" s="260"/>
      <c r="AL51" s="260"/>
      <c r="AM51" s="260"/>
      <c r="AN51" s="260"/>
    </row>
    <row r="52" spans="2:42" ht="45.6" customHeight="1" x14ac:dyDescent="0.2">
      <c r="B52" s="364" t="s">
        <v>184</v>
      </c>
      <c r="C52" s="365" t="str">
        <f>C31</f>
        <v>OGREVANJE</v>
      </c>
      <c r="D52" s="366">
        <v>1</v>
      </c>
      <c r="E52" s="367">
        <f>ROUND(E31*D52,0)</f>
        <v>101860</v>
      </c>
      <c r="F52" s="1295">
        <f>$F$31</f>
        <v>0.1369050778153294</v>
      </c>
      <c r="G52" s="368">
        <f>ROUND(G31*D52,0)</f>
        <v>121262</v>
      </c>
      <c r="H52" s="1295">
        <f>ROUND(H31,6)</f>
        <v>0.115</v>
      </c>
      <c r="I52" s="794">
        <f>ROUND(G52*$H$52,2)</f>
        <v>13945.13</v>
      </c>
      <c r="J52" s="1292" t="e">
        <f ca="1">ROUND(Q56/K56,6)</f>
        <v>#DIV/0!</v>
      </c>
      <c r="K52" s="993">
        <f ca="1">K31*D52</f>
        <v>0</v>
      </c>
      <c r="L52" s="797">
        <f ca="1">ROUND(L31*D52,0)</f>
        <v>0</v>
      </c>
      <c r="M52" s="1298">
        <f ca="1">ROUND(M31,6)</f>
        <v>0.16700000000000001</v>
      </c>
      <c r="N52" s="798">
        <f ca="1">ROUND(N31*D52,0)</f>
        <v>0</v>
      </c>
      <c r="O52" s="1298">
        <f ca="1">ROUND(O31,6)</f>
        <v>0.115</v>
      </c>
      <c r="P52" s="932">
        <f ca="1">L52+N52</f>
        <v>0</v>
      </c>
      <c r="Q52" s="348">
        <f ca="1">L52*$M$31+N52*$O$31</f>
        <v>0</v>
      </c>
      <c r="R52" s="259"/>
      <c r="S52" s="259"/>
      <c r="T52" s="259"/>
      <c r="U52" s="259"/>
      <c r="AD52" s="259"/>
      <c r="AE52" s="259"/>
      <c r="AF52" s="259"/>
      <c r="AG52" s="259"/>
      <c r="AH52" s="259"/>
      <c r="AI52" s="259"/>
      <c r="AJ52" s="259"/>
      <c r="AK52" s="260"/>
      <c r="AL52" s="260"/>
      <c r="AM52" s="260"/>
      <c r="AN52" s="260"/>
    </row>
    <row r="53" spans="2:42" ht="45.6" customHeight="1" x14ac:dyDescent="0.2">
      <c r="B53" s="364" t="s">
        <v>184</v>
      </c>
      <c r="C53" s="365" t="str">
        <f>C32</f>
        <v>SANITARNA TOPLA VODA</v>
      </c>
      <c r="D53" s="366">
        <f>D52</f>
        <v>1</v>
      </c>
      <c r="E53" s="566">
        <f>ROUND(E32*D53,0)</f>
        <v>17975</v>
      </c>
      <c r="F53" s="1296"/>
      <c r="G53" s="478">
        <f>ROUND(G32*D53,0)</f>
        <v>21399</v>
      </c>
      <c r="H53" s="1296"/>
      <c r="I53" s="795">
        <f t="shared" ref="I53:I54" si="3">ROUND(G53*$H$52,2)</f>
        <v>2460.89</v>
      </c>
      <c r="J53" s="1293"/>
      <c r="K53" s="994">
        <f t="shared" ref="K53:K54" ca="1" si="4">K32*D53</f>
        <v>0</v>
      </c>
      <c r="L53" s="799">
        <f ca="1">ROUND(L32*D53,0)</f>
        <v>0</v>
      </c>
      <c r="M53" s="1299"/>
      <c r="N53" s="729">
        <f ca="1">ROUND(N32*D53,0)</f>
        <v>0</v>
      </c>
      <c r="O53" s="1299"/>
      <c r="P53" s="933">
        <f ca="1">L53+N53</f>
        <v>0</v>
      </c>
      <c r="Q53" s="380">
        <f t="shared" ref="Q53:Q54" ca="1" si="5">L53*$M$31+N53*$O$31</f>
        <v>0</v>
      </c>
      <c r="R53" s="259"/>
      <c r="S53" s="259"/>
      <c r="T53" s="259"/>
      <c r="U53" s="259"/>
      <c r="AD53" s="259"/>
      <c r="AE53" s="259"/>
      <c r="AF53" s="259"/>
      <c r="AG53" s="259"/>
      <c r="AH53" s="259"/>
      <c r="AI53" s="259"/>
      <c r="AJ53" s="259"/>
      <c r="AK53" s="260"/>
      <c r="AL53" s="260"/>
      <c r="AM53" s="260"/>
      <c r="AN53" s="260"/>
    </row>
    <row r="54" spans="2:42" ht="45.6" customHeight="1" x14ac:dyDescent="0.2">
      <c r="B54" s="364" t="s">
        <v>187</v>
      </c>
      <c r="C54" s="365" t="str">
        <f>C33</f>
        <v>MEHANSKO PREZRAČEVANJE</v>
      </c>
      <c r="D54" s="366">
        <f>D53</f>
        <v>1</v>
      </c>
      <c r="E54" s="566">
        <f>ROUND(E33*D54,0)</f>
        <v>0</v>
      </c>
      <c r="F54" s="1296"/>
      <c r="G54" s="478">
        <f>ROUND(G33*D54,0)</f>
        <v>0</v>
      </c>
      <c r="H54" s="1296"/>
      <c r="I54" s="795">
        <f t="shared" si="3"/>
        <v>0</v>
      </c>
      <c r="J54" s="1293"/>
      <c r="K54" s="994">
        <f t="shared" ca="1" si="4"/>
        <v>0</v>
      </c>
      <c r="L54" s="799">
        <f ca="1">ROUND(L33*D54,0)</f>
        <v>0</v>
      </c>
      <c r="M54" s="1299"/>
      <c r="N54" s="729">
        <f ca="1">ROUND(N33*D54,0)</f>
        <v>0</v>
      </c>
      <c r="O54" s="1299"/>
      <c r="P54" s="933">
        <f ca="1">L54+N54</f>
        <v>0</v>
      </c>
      <c r="Q54" s="380">
        <f t="shared" ca="1" si="5"/>
        <v>0</v>
      </c>
      <c r="R54" s="259"/>
      <c r="S54" s="259"/>
      <c r="T54" s="259"/>
      <c r="U54" s="259"/>
      <c r="AD54" s="259"/>
      <c r="AE54" s="259"/>
      <c r="AF54" s="259"/>
      <c r="AG54" s="259"/>
      <c r="AH54" s="259"/>
      <c r="AI54" s="259"/>
      <c r="AJ54" s="259"/>
      <c r="AK54" s="260"/>
      <c r="AL54" s="260"/>
      <c r="AM54" s="260"/>
      <c r="AN54" s="260"/>
    </row>
    <row r="55" spans="2:42" ht="45.6" customHeight="1" thickBot="1" x14ac:dyDescent="0.25">
      <c r="B55" s="937"/>
      <c r="C55" s="938"/>
      <c r="D55" s="939"/>
      <c r="E55" s="727"/>
      <c r="F55" s="1297"/>
      <c r="G55" s="728"/>
      <c r="H55" s="1297"/>
      <c r="I55" s="796"/>
      <c r="J55" s="1294"/>
      <c r="K55" s="995"/>
      <c r="L55" s="800"/>
      <c r="M55" s="1300"/>
      <c r="N55" s="730"/>
      <c r="O55" s="1300"/>
      <c r="P55" s="934"/>
      <c r="Q55" s="380"/>
      <c r="R55" s="259"/>
      <c r="S55" s="259"/>
      <c r="T55" s="259"/>
      <c r="U55" s="259"/>
      <c r="AD55" s="259"/>
      <c r="AE55" s="259"/>
      <c r="AF55" s="259"/>
      <c r="AG55" s="259"/>
      <c r="AH55" s="259"/>
      <c r="AI55" s="259"/>
      <c r="AJ55" s="259"/>
      <c r="AK55" s="260"/>
      <c r="AL55" s="260"/>
      <c r="AM55" s="260"/>
      <c r="AN55" s="260"/>
    </row>
    <row r="56" spans="2:42" ht="34.5" customHeight="1" thickBot="1" x14ac:dyDescent="0.25">
      <c r="B56" s="1203" t="str">
        <f>B35</f>
        <v>SKUPAJ</v>
      </c>
      <c r="C56" s="1204"/>
      <c r="D56" s="1205"/>
      <c r="E56" s="330">
        <f>SUM(E52:E55)</f>
        <v>119835</v>
      </c>
      <c r="F56" s="331"/>
      <c r="G56" s="372">
        <f>SUM(G52:G55)</f>
        <v>142661</v>
      </c>
      <c r="H56" s="333"/>
      <c r="I56" s="334">
        <f>SUM(I52:I55)</f>
        <v>16406.02</v>
      </c>
      <c r="J56" s="955"/>
      <c r="K56" s="968">
        <f ca="1">SUM(K52:K55)</f>
        <v>0</v>
      </c>
      <c r="L56" s="781">
        <f ca="1">SUM(L52:L55)</f>
        <v>0</v>
      </c>
      <c r="M56" s="786"/>
      <c r="N56" s="783">
        <f ca="1">SUM(N52:N55)</f>
        <v>0</v>
      </c>
      <c r="O56" s="787"/>
      <c r="P56" s="789">
        <f ca="1">SUM(P52:P55)</f>
        <v>0</v>
      </c>
      <c r="Q56" s="387">
        <f ca="1">SUM(Q52:Q55)</f>
        <v>0</v>
      </c>
      <c r="R56" s="259"/>
      <c r="S56" s="259"/>
      <c r="T56" s="259"/>
      <c r="U56" s="259"/>
      <c r="AD56" s="259"/>
      <c r="AE56" s="259"/>
      <c r="AF56" s="259"/>
      <c r="AG56" s="259"/>
      <c r="AH56" s="259"/>
      <c r="AI56" s="259"/>
      <c r="AJ56" s="259"/>
      <c r="AK56" s="260"/>
      <c r="AL56" s="260"/>
      <c r="AM56" s="260"/>
      <c r="AN56" s="260"/>
    </row>
    <row r="57" spans="2:42" ht="18" customHeight="1" thickBot="1" x14ac:dyDescent="0.25">
      <c r="B57" s="256"/>
      <c r="C57" s="247"/>
      <c r="D57" s="247"/>
      <c r="E57" s="561"/>
      <c r="F57" s="247"/>
      <c r="G57" s="247"/>
      <c r="H57" s="247"/>
      <c r="I57" s="245"/>
      <c r="J57" s="246"/>
      <c r="K57" s="246"/>
      <c r="L57" s="246"/>
      <c r="M57" s="246"/>
      <c r="N57" s="246"/>
      <c r="O57" s="247"/>
      <c r="P57" s="247"/>
      <c r="Q57" s="247"/>
      <c r="R57" s="247"/>
      <c r="S57" s="247"/>
      <c r="T57" s="255"/>
      <c r="U57" s="255"/>
      <c r="V57" s="255"/>
      <c r="Y57" s="259"/>
      <c r="Z57" s="259"/>
      <c r="AA57" s="259"/>
      <c r="AB57" s="259"/>
      <c r="AC57" s="259"/>
      <c r="AD57" s="259"/>
      <c r="AE57" s="259"/>
      <c r="AF57" s="259"/>
      <c r="AG57" s="259"/>
      <c r="AH57" s="259"/>
      <c r="AI57" s="259"/>
      <c r="AJ57" s="259"/>
      <c r="AK57" s="260"/>
      <c r="AL57" s="260"/>
      <c r="AM57" s="260"/>
      <c r="AN57" s="260"/>
    </row>
    <row r="58" spans="2:42" ht="18" customHeight="1" thickBot="1" x14ac:dyDescent="0.25">
      <c r="B58" s="1268" t="s">
        <v>198</v>
      </c>
      <c r="C58" s="1277" t="s">
        <v>176</v>
      </c>
      <c r="D58" s="1289" t="s">
        <v>200</v>
      </c>
      <c r="E58" s="748" t="s">
        <v>417</v>
      </c>
      <c r="F58" s="949"/>
      <c r="G58" s="949"/>
      <c r="H58" s="949"/>
      <c r="I58" s="949"/>
      <c r="J58" s="949"/>
      <c r="K58" s="949"/>
      <c r="L58" s="949"/>
      <c r="M58" s="950"/>
      <c r="S58" s="255"/>
      <c r="T58" s="255"/>
      <c r="U58" s="255"/>
      <c r="V58" s="255"/>
      <c r="Y58" s="259"/>
      <c r="Z58" s="259"/>
      <c r="AA58" s="259"/>
      <c r="AB58" s="259"/>
      <c r="AC58" s="259"/>
      <c r="AD58" s="259"/>
      <c r="AE58" s="259"/>
      <c r="AF58" s="259"/>
      <c r="AG58" s="259"/>
      <c r="AH58" s="259"/>
      <c r="AI58" s="259"/>
      <c r="AJ58" s="259"/>
      <c r="AK58" s="260"/>
      <c r="AL58" s="260"/>
      <c r="AM58" s="260"/>
      <c r="AN58" s="260"/>
    </row>
    <row r="59" spans="2:42" ht="38.25" x14ac:dyDescent="0.2">
      <c r="B59" s="1270"/>
      <c r="C59" s="1279"/>
      <c r="D59" s="1290"/>
      <c r="E59" s="338" t="s">
        <v>400</v>
      </c>
      <c r="F59" s="336" t="s">
        <v>401</v>
      </c>
      <c r="G59" s="337" t="s">
        <v>402</v>
      </c>
      <c r="H59" s="336" t="s">
        <v>190</v>
      </c>
      <c r="I59" s="337" t="s">
        <v>191</v>
      </c>
      <c r="J59" s="408" t="s">
        <v>192</v>
      </c>
      <c r="K59" s="373" t="s">
        <v>388</v>
      </c>
      <c r="L59" s="374" t="s">
        <v>389</v>
      </c>
      <c r="M59" s="341" t="s">
        <v>201</v>
      </c>
      <c r="S59" s="255"/>
      <c r="T59" s="255"/>
      <c r="U59" s="255"/>
      <c r="V59" s="255"/>
      <c r="W59" s="255"/>
      <c r="X59" s="255"/>
      <c r="AJ59" s="259"/>
      <c r="AK59" s="259"/>
      <c r="AL59" s="259"/>
      <c r="AM59" s="260"/>
      <c r="AN59" s="260"/>
      <c r="AO59" s="260"/>
      <c r="AP59" s="260"/>
    </row>
    <row r="60" spans="2:42" ht="18.75" thickBot="1" x14ac:dyDescent="0.25">
      <c r="B60" s="362"/>
      <c r="C60" s="363"/>
      <c r="D60" s="322"/>
      <c r="E60" s="342" t="s">
        <v>64</v>
      </c>
      <c r="F60" s="732" t="s">
        <v>64</v>
      </c>
      <c r="G60" s="318" t="s">
        <v>64</v>
      </c>
      <c r="H60" s="733" t="s">
        <v>64</v>
      </c>
      <c r="I60" s="732" t="s">
        <v>64</v>
      </c>
      <c r="J60" s="318" t="s">
        <v>64</v>
      </c>
      <c r="K60" s="376" t="s">
        <v>158</v>
      </c>
      <c r="L60" s="377" t="s">
        <v>158</v>
      </c>
      <c r="M60" s="345" t="s">
        <v>158</v>
      </c>
      <c r="S60" s="255"/>
      <c r="T60" s="255"/>
      <c r="U60" s="255"/>
      <c r="V60" s="255"/>
      <c r="W60" s="255"/>
      <c r="X60" s="255"/>
      <c r="AJ60" s="259"/>
      <c r="AK60" s="259"/>
      <c r="AL60" s="259"/>
      <c r="AM60" s="260"/>
      <c r="AN60" s="260"/>
      <c r="AO60" s="260"/>
      <c r="AP60" s="260"/>
    </row>
    <row r="61" spans="2:42" ht="50.25" customHeight="1" x14ac:dyDescent="0.2">
      <c r="B61" s="364" t="s">
        <v>184</v>
      </c>
      <c r="C61" s="365" t="str">
        <f>C40</f>
        <v>OGREVANJE</v>
      </c>
      <c r="D61" s="378">
        <f>D52</f>
        <v>1</v>
      </c>
      <c r="E61" s="1003">
        <f ca="1">E52-K52</f>
        <v>101860</v>
      </c>
      <c r="F61" s="1004" t="s">
        <v>135</v>
      </c>
      <c r="G61" s="998">
        <f ca="1">SUM(E61:F61)</f>
        <v>101860</v>
      </c>
      <c r="H61" s="1012">
        <f ca="1">G52-P52</f>
        <v>121262</v>
      </c>
      <c r="I61" s="1004" t="s">
        <v>135</v>
      </c>
      <c r="J61" s="998">
        <f ca="1">SUM(H61:I61)</f>
        <v>121262</v>
      </c>
      <c r="K61" s="379">
        <f ca="1">I52-Q52</f>
        <v>13945.13</v>
      </c>
      <c r="L61" s="754" t="s">
        <v>135</v>
      </c>
      <c r="M61" s="349">
        <f ca="1">SUM(K61:L61)</f>
        <v>13945.13</v>
      </c>
      <c r="S61" s="255"/>
      <c r="T61" s="255"/>
      <c r="U61" s="255"/>
      <c r="V61" s="255"/>
      <c r="W61" s="255"/>
      <c r="X61" s="255"/>
      <c r="AJ61" s="259"/>
      <c r="AK61" s="259"/>
      <c r="AL61" s="259"/>
      <c r="AM61" s="260"/>
      <c r="AN61" s="260"/>
      <c r="AO61" s="260"/>
      <c r="AP61" s="260"/>
    </row>
    <row r="62" spans="2:42" ht="50.25" customHeight="1" x14ac:dyDescent="0.2">
      <c r="B62" s="364" t="s">
        <v>184</v>
      </c>
      <c r="C62" s="365" t="str">
        <f>C41</f>
        <v>SANITARNA TOPLA VODA</v>
      </c>
      <c r="D62" s="378">
        <f>D53</f>
        <v>1</v>
      </c>
      <c r="E62" s="1005">
        <f ca="1">E53-K53</f>
        <v>17975</v>
      </c>
      <c r="F62" s="1006" t="s">
        <v>135</v>
      </c>
      <c r="G62" s="999">
        <f ca="1">SUM(E62:F62)</f>
        <v>17975</v>
      </c>
      <c r="H62" s="1013">
        <f ca="1">G53-P53</f>
        <v>21399</v>
      </c>
      <c r="I62" s="1006" t="s">
        <v>135</v>
      </c>
      <c r="J62" s="999">
        <f ca="1">SUM(H62:I62)</f>
        <v>21399</v>
      </c>
      <c r="K62" s="381">
        <f ca="1">I53-Q53</f>
        <v>2460.89</v>
      </c>
      <c r="L62" s="755" t="s">
        <v>135</v>
      </c>
      <c r="M62" s="355">
        <f ca="1">SUM(K62:L62)</f>
        <v>2460.89</v>
      </c>
      <c r="S62" s="255"/>
      <c r="T62" s="255"/>
      <c r="U62" s="255"/>
      <c r="V62" s="255"/>
      <c r="W62" s="255"/>
      <c r="X62" s="255"/>
      <c r="AJ62" s="259"/>
      <c r="AK62" s="259"/>
      <c r="AL62" s="259"/>
      <c r="AM62" s="260"/>
      <c r="AN62" s="260"/>
      <c r="AO62" s="260"/>
      <c r="AP62" s="260"/>
    </row>
    <row r="63" spans="2:42" ht="50.25" customHeight="1" x14ac:dyDescent="0.2">
      <c r="B63" s="364" t="s">
        <v>187</v>
      </c>
      <c r="C63" s="382" t="str">
        <f>C42</f>
        <v>MEHANSKO PREZRAČEVANJE</v>
      </c>
      <c r="D63" s="378">
        <f>D54</f>
        <v>1</v>
      </c>
      <c r="E63" s="1007" t="s">
        <v>135</v>
      </c>
      <c r="F63" s="1008">
        <f ca="1">E54-K54</f>
        <v>0</v>
      </c>
      <c r="G63" s="999">
        <f ca="1">SUM(E63:F63)</f>
        <v>0</v>
      </c>
      <c r="H63" s="1007" t="s">
        <v>135</v>
      </c>
      <c r="I63" s="935">
        <f ca="1">G54-P54</f>
        <v>0</v>
      </c>
      <c r="J63" s="999">
        <f ca="1">SUM(H63:I63)</f>
        <v>0</v>
      </c>
      <c r="K63" s="752" t="s">
        <v>135</v>
      </c>
      <c r="L63" s="381">
        <f ca="1">I54-Q54</f>
        <v>0</v>
      </c>
      <c r="M63" s="356">
        <f ca="1">ROUND(SUM(K63:L63),2)</f>
        <v>0</v>
      </c>
      <c r="S63" s="255"/>
      <c r="T63" s="255"/>
      <c r="U63" s="255"/>
      <c r="V63" s="255"/>
      <c r="W63" s="255"/>
      <c r="X63" s="255"/>
      <c r="AJ63" s="259"/>
      <c r="AK63" s="259"/>
      <c r="AL63" s="259"/>
      <c r="AM63" s="260"/>
      <c r="AN63" s="260"/>
      <c r="AO63" s="260"/>
      <c r="AP63" s="260"/>
    </row>
    <row r="64" spans="2:42" ht="50.25" customHeight="1" thickBot="1" x14ac:dyDescent="0.25">
      <c r="B64" s="364"/>
      <c r="C64" s="382"/>
      <c r="D64" s="378"/>
      <c r="E64" s="1009"/>
      <c r="F64" s="1010"/>
      <c r="G64" s="1000"/>
      <c r="H64" s="1009"/>
      <c r="I64" s="936"/>
      <c r="J64" s="1000"/>
      <c r="K64" s="753"/>
      <c r="L64" s="384"/>
      <c r="M64" s="356"/>
      <c r="S64" s="255"/>
      <c r="T64" s="255"/>
      <c r="U64" s="255"/>
      <c r="V64" s="255"/>
      <c r="W64" s="255"/>
      <c r="X64" s="255"/>
      <c r="AJ64" s="259"/>
      <c r="AK64" s="259"/>
      <c r="AL64" s="259"/>
      <c r="AM64" s="260"/>
      <c r="AN64" s="260"/>
      <c r="AO64" s="260"/>
      <c r="AP64" s="260"/>
    </row>
    <row r="65" spans="2:42" ht="35.25" customHeight="1" thickBot="1" x14ac:dyDescent="0.25">
      <c r="B65" s="1315" t="str">
        <f>B44</f>
        <v>SKUPAJ</v>
      </c>
      <c r="C65" s="1347"/>
      <c r="D65" s="1348"/>
      <c r="E65" s="439">
        <f t="shared" ref="E65:M65" ca="1" si="6">SUM(E61:E64)</f>
        <v>119835</v>
      </c>
      <c r="F65" s="1011">
        <f t="shared" ca="1" si="6"/>
        <v>0</v>
      </c>
      <c r="G65" s="1001">
        <f t="shared" ca="1" si="6"/>
        <v>119835</v>
      </c>
      <c r="H65" s="386">
        <f t="shared" ca="1" si="6"/>
        <v>142661</v>
      </c>
      <c r="I65" s="1011">
        <f t="shared" ca="1" si="6"/>
        <v>0</v>
      </c>
      <c r="J65" s="1002">
        <f t="shared" ca="1" si="6"/>
        <v>142661</v>
      </c>
      <c r="K65" s="546">
        <f t="shared" ca="1" si="6"/>
        <v>16406.02</v>
      </c>
      <c r="L65" s="358">
        <f t="shared" ca="1" si="6"/>
        <v>0</v>
      </c>
      <c r="M65" s="996">
        <f t="shared" ca="1" si="6"/>
        <v>16406.02</v>
      </c>
      <c r="S65" s="255"/>
      <c r="AJ65" s="259"/>
      <c r="AK65" s="259"/>
      <c r="AL65" s="259"/>
      <c r="AM65" s="260"/>
      <c r="AN65" s="260"/>
      <c r="AO65" s="260"/>
      <c r="AP65" s="260"/>
    </row>
    <row r="66" spans="2:42" ht="15.75" thickBot="1" x14ac:dyDescent="0.25">
      <c r="B66" s="257"/>
      <c r="C66" s="247"/>
      <c r="D66" s="247"/>
      <c r="E66" s="247"/>
      <c r="F66" s="247"/>
      <c r="G66" s="360"/>
      <c r="H66" s="247"/>
      <c r="I66" s="389"/>
      <c r="J66" s="389"/>
      <c r="K66" s="389"/>
      <c r="L66" s="389"/>
      <c r="M66" s="389"/>
      <c r="N66" s="389"/>
      <c r="O66" s="247"/>
      <c r="P66" s="390"/>
      <c r="Q66" s="247"/>
      <c r="R66" s="247"/>
      <c r="S66" s="247"/>
      <c r="T66" s="259"/>
      <c r="U66" s="259"/>
      <c r="V66" s="259"/>
      <c r="W66" s="259"/>
      <c r="X66" s="259"/>
      <c r="Y66" s="259"/>
      <c r="Z66" s="259"/>
      <c r="AA66" s="259"/>
      <c r="AB66" s="259"/>
      <c r="AC66" s="259"/>
      <c r="AD66" s="259"/>
      <c r="AE66" s="259"/>
      <c r="AF66" s="259"/>
      <c r="AG66" s="259"/>
      <c r="AH66" s="259"/>
      <c r="AI66" s="259"/>
      <c r="AJ66" s="259"/>
      <c r="AK66" s="260"/>
      <c r="AL66" s="260"/>
      <c r="AM66" s="260"/>
      <c r="AN66" s="260"/>
    </row>
    <row r="67" spans="2:42" ht="36.75" customHeight="1" thickBot="1" x14ac:dyDescent="0.25">
      <c r="B67" s="361" t="s">
        <v>202</v>
      </c>
      <c r="C67" s="316"/>
      <c r="D67" s="316"/>
      <c r="E67" s="316"/>
      <c r="F67" s="316"/>
      <c r="G67" s="316"/>
      <c r="H67" s="316"/>
      <c r="I67" s="316"/>
      <c r="J67" s="316"/>
      <c r="K67" s="316"/>
      <c r="L67" s="316"/>
      <c r="M67" s="316"/>
      <c r="N67" s="316"/>
      <c r="O67" s="316"/>
      <c r="P67" s="316"/>
      <c r="Q67" s="316"/>
      <c r="R67" s="316"/>
      <c r="S67" s="316"/>
      <c r="T67" s="316"/>
      <c r="U67" s="316"/>
      <c r="V67" s="997"/>
      <c r="X67" s="259"/>
      <c r="Y67" s="259"/>
      <c r="Z67" s="259"/>
      <c r="AA67" s="259"/>
      <c r="AB67" s="259"/>
      <c r="AC67" s="259"/>
      <c r="AD67" s="259"/>
      <c r="AE67" s="259"/>
      <c r="AF67" s="259"/>
      <c r="AG67" s="259"/>
      <c r="AH67" s="259"/>
      <c r="AI67" s="259"/>
      <c r="AJ67" s="391" t="s">
        <v>203</v>
      </c>
      <c r="AK67" s="392"/>
      <c r="AL67" s="392"/>
      <c r="AM67" s="392"/>
      <c r="AN67" s="260"/>
    </row>
    <row r="68" spans="2:42" ht="45" customHeight="1" thickBot="1" x14ac:dyDescent="0.25">
      <c r="B68" s="748" t="s">
        <v>204</v>
      </c>
      <c r="C68" s="757"/>
      <c r="D68" s="757"/>
      <c r="E68" s="757"/>
      <c r="F68" s="757"/>
      <c r="G68" s="757"/>
      <c r="H68" s="757"/>
      <c r="I68" s="757"/>
      <c r="J68" s="757"/>
      <c r="K68" s="809" t="s">
        <v>205</v>
      </c>
      <c r="L68" s="810"/>
      <c r="M68" s="810"/>
      <c r="N68" s="810"/>
      <c r="O68" s="810"/>
      <c r="P68" s="810"/>
      <c r="Q68" s="811"/>
      <c r="R68" s="809" t="s">
        <v>206</v>
      </c>
      <c r="S68" s="809"/>
      <c r="T68" s="746"/>
      <c r="U68" s="746"/>
      <c r="V68" s="918"/>
      <c r="AB68" s="259"/>
      <c r="AC68" s="259"/>
      <c r="AD68" s="259"/>
      <c r="AE68" s="259"/>
      <c r="AF68" s="259"/>
      <c r="AG68" s="259"/>
      <c r="AH68" s="259"/>
      <c r="AI68" s="259"/>
      <c r="AJ68" s="391"/>
      <c r="AK68" s="392"/>
      <c r="AL68" s="392"/>
      <c r="AM68" s="392"/>
      <c r="AN68" s="260"/>
    </row>
    <row r="69" spans="2:42" ht="84" customHeight="1" x14ac:dyDescent="0.2">
      <c r="B69" s="765" t="s">
        <v>63</v>
      </c>
      <c r="C69" s="758" t="s">
        <v>207</v>
      </c>
      <c r="D69" s="759" t="s">
        <v>41</v>
      </c>
      <c r="E69" s="760" t="s">
        <v>163</v>
      </c>
      <c r="F69" s="761" t="s">
        <v>176</v>
      </c>
      <c r="G69" s="764" t="s">
        <v>175</v>
      </c>
      <c r="H69" s="338" t="s">
        <v>407</v>
      </c>
      <c r="I69" s="339" t="s">
        <v>408</v>
      </c>
      <c r="J69" s="408" t="s">
        <v>398</v>
      </c>
      <c r="K69" s="712" t="s">
        <v>409</v>
      </c>
      <c r="L69" s="715" t="s">
        <v>350</v>
      </c>
      <c r="M69" s="713" t="s">
        <v>349</v>
      </c>
      <c r="N69" s="714" t="s">
        <v>208</v>
      </c>
      <c r="O69" s="714" t="s">
        <v>405</v>
      </c>
      <c r="P69" s="901" t="s">
        <v>403</v>
      </c>
      <c r="Q69" s="339" t="s">
        <v>404</v>
      </c>
      <c r="R69" s="761" t="s">
        <v>176</v>
      </c>
      <c r="S69" s="393" t="s">
        <v>207</v>
      </c>
      <c r="T69" s="394" t="s">
        <v>41</v>
      </c>
      <c r="U69" s="714" t="s">
        <v>209</v>
      </c>
      <c r="V69" s="408" t="s">
        <v>210</v>
      </c>
      <c r="AJ69" s="391" t="s">
        <v>211</v>
      </c>
      <c r="AK69" s="392" t="s">
        <v>212</v>
      </c>
      <c r="AL69" s="395" t="s">
        <v>213</v>
      </c>
      <c r="AM69" s="392" t="s">
        <v>214</v>
      </c>
      <c r="AN69" s="260"/>
    </row>
    <row r="70" spans="2:42" s="813" customFormat="1" ht="14.25" customHeight="1" thickBot="1" x14ac:dyDescent="0.25">
      <c r="B70" s="814"/>
      <c r="C70" s="762"/>
      <c r="D70" s="763"/>
      <c r="E70" s="815"/>
      <c r="F70" s="802"/>
      <c r="G70" s="803"/>
      <c r="H70" s="802"/>
      <c r="I70" s="822"/>
      <c r="J70" s="804"/>
      <c r="K70" s="812" t="s">
        <v>215</v>
      </c>
      <c r="L70" s="322"/>
      <c r="M70" s="322"/>
      <c r="N70" s="376"/>
      <c r="O70" s="398" t="s">
        <v>64</v>
      </c>
      <c r="P70" s="721" t="s">
        <v>64</v>
      </c>
      <c r="Q70" s="375" t="s">
        <v>64</v>
      </c>
      <c r="R70" s="802"/>
      <c r="S70" s="396" t="s">
        <v>64</v>
      </c>
      <c r="T70" s="397" t="s">
        <v>64</v>
      </c>
      <c r="U70" s="375" t="s">
        <v>64</v>
      </c>
      <c r="V70" s="398" t="s">
        <v>158</v>
      </c>
      <c r="AJ70" s="816"/>
      <c r="AK70" s="817"/>
      <c r="AL70" s="817"/>
      <c r="AM70" s="817" t="s">
        <v>64</v>
      </c>
      <c r="AN70" s="818"/>
    </row>
    <row r="71" spans="2:42" s="849" customFormat="1" ht="54.75" customHeight="1" x14ac:dyDescent="0.2">
      <c r="B71" s="846" t="s">
        <v>393</v>
      </c>
      <c r="C71" s="859"/>
      <c r="D71" s="859"/>
      <c r="E71" s="861">
        <f>C71+D71</f>
        <v>0</v>
      </c>
      <c r="F71" s="841" t="s">
        <v>185</v>
      </c>
      <c r="G71" s="819" t="str">
        <f>B52</f>
        <v>Merjeni</v>
      </c>
      <c r="H71" s="805" t="s">
        <v>135</v>
      </c>
      <c r="I71" s="806" t="s">
        <v>135</v>
      </c>
      <c r="J71" s="862"/>
      <c r="K71" s="399">
        <f>N24</f>
        <v>1</v>
      </c>
      <c r="L71" s="747">
        <f>U24</f>
        <v>1</v>
      </c>
      <c r="M71" s="747">
        <v>1</v>
      </c>
      <c r="N71" s="834">
        <f>ROUND(K71*L71*M71,5)</f>
        <v>1</v>
      </c>
      <c r="O71" s="899">
        <f>IFERROR(J71/SUM(J71:J73)*E72*N71,0)</f>
        <v>0</v>
      </c>
      <c r="P71" s="902">
        <v>0</v>
      </c>
      <c r="Q71" s="906">
        <v>0</v>
      </c>
      <c r="R71" s="841" t="s">
        <v>452</v>
      </c>
      <c r="S71" s="847" t="e">
        <f>O71*$C$73/$C$74+P71-H74</f>
        <v>#DIV/0!</v>
      </c>
      <c r="T71" s="848" t="e">
        <f>O71*$D$73/$D$74+Q71-I74</f>
        <v>#DIV/0!</v>
      </c>
      <c r="U71" s="912" t="e">
        <f>SUM(S71:T71)</f>
        <v>#DIV/0!</v>
      </c>
      <c r="V71" s="837" t="e">
        <f ca="1">ROUND(S71*$C$75+T71*$D$75,2)</f>
        <v>#DIV/0!</v>
      </c>
      <c r="AJ71" s="850" t="s">
        <v>216</v>
      </c>
      <c r="AK71" s="392" t="s">
        <v>217</v>
      </c>
      <c r="AL71" s="392" t="s">
        <v>114</v>
      </c>
      <c r="AM71" s="400"/>
      <c r="AN71" s="851"/>
    </row>
    <row r="72" spans="2:42" s="849" customFormat="1" ht="54.75" customHeight="1" x14ac:dyDescent="0.2">
      <c r="B72" s="852" t="s">
        <v>394</v>
      </c>
      <c r="C72" s="860"/>
      <c r="D72" s="860"/>
      <c r="E72" s="1030">
        <f>C72+D72</f>
        <v>0</v>
      </c>
      <c r="F72" s="842" t="s">
        <v>186</v>
      </c>
      <c r="G72" s="820" t="str">
        <f>B53</f>
        <v>Merjeni</v>
      </c>
      <c r="H72" s="823" t="s">
        <v>135</v>
      </c>
      <c r="I72" s="824" t="s">
        <v>135</v>
      </c>
      <c r="J72" s="863"/>
      <c r="K72" s="805" t="s">
        <v>135</v>
      </c>
      <c r="L72" s="625">
        <v>1</v>
      </c>
      <c r="M72" s="401">
        <v>1</v>
      </c>
      <c r="N72" s="835">
        <f>ROUND(L72*M72,5)</f>
        <v>1</v>
      </c>
      <c r="O72" s="900">
        <f>IFERROR(J72/SUM(J71:J73)*E72*N72,0)</f>
        <v>0</v>
      </c>
      <c r="P72" s="903">
        <v>0</v>
      </c>
      <c r="Q72" s="907">
        <v>0</v>
      </c>
      <c r="R72" s="842" t="s">
        <v>186</v>
      </c>
      <c r="S72" s="853" t="e">
        <f>O72*C73/C74</f>
        <v>#DIV/0!</v>
      </c>
      <c r="T72" s="854" t="e">
        <f>O72*D73/D74</f>
        <v>#DIV/0!</v>
      </c>
      <c r="U72" s="913" t="e">
        <f>SUM(S72:T72)</f>
        <v>#DIV/0!</v>
      </c>
      <c r="V72" s="838" t="e">
        <f t="shared" ref="V72:V73" ca="1" si="7">ROUND(S72*$C$75+T72*$D$75,2)</f>
        <v>#DIV/0!</v>
      </c>
      <c r="AJ72" s="850" t="s">
        <v>218</v>
      </c>
      <c r="AK72" s="392" t="s">
        <v>217</v>
      </c>
      <c r="AL72" s="392" t="s">
        <v>114</v>
      </c>
      <c r="AM72" s="400"/>
      <c r="AN72" s="851"/>
    </row>
    <row r="73" spans="2:42" s="849" customFormat="1" ht="54.75" customHeight="1" x14ac:dyDescent="0.2">
      <c r="B73" s="852" t="s">
        <v>396</v>
      </c>
      <c r="C73" s="832">
        <f>IFERROR(C72/E72,0)</f>
        <v>0</v>
      </c>
      <c r="D73" s="832">
        <f>IFERROR(D72/E72,0)</f>
        <v>0</v>
      </c>
      <c r="E73" s="833">
        <f>C73+D73</f>
        <v>0</v>
      </c>
      <c r="F73" s="843" t="s">
        <v>384</v>
      </c>
      <c r="G73" s="820" t="s">
        <v>187</v>
      </c>
      <c r="H73" s="825">
        <f ca="1">L54</f>
        <v>0</v>
      </c>
      <c r="I73" s="826">
        <f ca="1">N54</f>
        <v>0</v>
      </c>
      <c r="J73" s="863"/>
      <c r="K73" s="805" t="s">
        <v>135</v>
      </c>
      <c r="L73" s="801" t="s">
        <v>135</v>
      </c>
      <c r="M73" s="801" t="s">
        <v>135</v>
      </c>
      <c r="N73" s="835">
        <v>1</v>
      </c>
      <c r="O73" s="900">
        <f>IFERROR(J73/SUM(J71:J73)*E72*N73,0)</f>
        <v>0</v>
      </c>
      <c r="P73" s="904" t="s">
        <v>135</v>
      </c>
      <c r="Q73" s="806" t="s">
        <v>135</v>
      </c>
      <c r="R73" s="843" t="s">
        <v>384</v>
      </c>
      <c r="S73" s="855">
        <f ca="1">H73</f>
        <v>0</v>
      </c>
      <c r="T73" s="856">
        <f ca="1">I73</f>
        <v>0</v>
      </c>
      <c r="U73" s="914">
        <f ca="1">SUM(S73:T73)</f>
        <v>0</v>
      </c>
      <c r="V73" s="839">
        <f t="shared" ca="1" si="7"/>
        <v>0</v>
      </c>
      <c r="AJ73" s="850" t="s">
        <v>219</v>
      </c>
      <c r="AK73" s="392" t="s">
        <v>217</v>
      </c>
      <c r="AL73" s="392" t="s">
        <v>114</v>
      </c>
      <c r="AM73" s="400"/>
      <c r="AN73" s="851"/>
    </row>
    <row r="74" spans="2:42" s="849" customFormat="1" ht="54.75" customHeight="1" thickBot="1" x14ac:dyDescent="0.25">
      <c r="B74" s="920" t="s">
        <v>395</v>
      </c>
      <c r="C74" s="919">
        <f>IFERROR(C72/C71,0)</f>
        <v>0</v>
      </c>
      <c r="D74" s="919">
        <f>IFERROR(D72/D71,0)</f>
        <v>0</v>
      </c>
      <c r="E74" s="921">
        <f>IFERROR(E72/E71,0)</f>
        <v>0</v>
      </c>
      <c r="F74" s="844"/>
      <c r="G74" s="821"/>
      <c r="H74" s="827"/>
      <c r="I74" s="828"/>
      <c r="J74" s="916"/>
      <c r="K74" s="807"/>
      <c r="L74" s="808"/>
      <c r="M74" s="808"/>
      <c r="N74" s="836"/>
      <c r="O74" s="917"/>
      <c r="P74" s="905"/>
      <c r="Q74" s="908"/>
      <c r="R74" s="844"/>
      <c r="S74" s="857"/>
      <c r="T74" s="858"/>
      <c r="U74" s="915"/>
      <c r="V74" s="840"/>
      <c r="AJ74" s="850"/>
      <c r="AK74" s="392"/>
      <c r="AL74" s="392"/>
      <c r="AM74" s="400"/>
      <c r="AN74" s="851"/>
    </row>
    <row r="75" spans="2:42" ht="51.75" customHeight="1" thickBot="1" x14ac:dyDescent="0.25">
      <c r="B75" s="922" t="s">
        <v>410</v>
      </c>
      <c r="C75" s="928">
        <f ca="1">ROUND(M52,6)</f>
        <v>0.16700000000000001</v>
      </c>
      <c r="D75" s="928">
        <f ca="1">ROUND(O52,6)</f>
        <v>0.115</v>
      </c>
      <c r="E75" s="923"/>
      <c r="F75" s="829" t="s">
        <v>163</v>
      </c>
      <c r="G75" s="830"/>
      <c r="H75" s="831"/>
      <c r="I75" s="845"/>
      <c r="J75" s="246"/>
      <c r="K75" s="246"/>
      <c r="L75" s="246"/>
      <c r="M75" s="246"/>
      <c r="N75" s="246"/>
      <c r="O75" s="1031">
        <f>SUM(O71:O74)</f>
        <v>0</v>
      </c>
      <c r="P75" s="404"/>
      <c r="Q75" s="404"/>
      <c r="S75" s="909" t="e">
        <f>SUM(S71:S74)</f>
        <v>#DIV/0!</v>
      </c>
      <c r="T75" s="910" t="e">
        <f>SUM(T71:T74)</f>
        <v>#DIV/0!</v>
      </c>
      <c r="U75" s="910" t="e">
        <f>SUM(U71:U74)</f>
        <v>#DIV/0!</v>
      </c>
      <c r="V75" s="911" t="e">
        <f ca="1">SUM(V71:V74)</f>
        <v>#DIV/0!</v>
      </c>
      <c r="W75" s="259"/>
      <c r="X75" s="259"/>
      <c r="Y75" s="259"/>
      <c r="Z75" s="259"/>
      <c r="AA75" s="259"/>
      <c r="AB75" s="259"/>
      <c r="AC75" s="259"/>
      <c r="AD75" s="259"/>
      <c r="AE75" s="259"/>
      <c r="AF75" s="259"/>
      <c r="AG75" s="259"/>
      <c r="AH75" s="259"/>
      <c r="AI75" s="259"/>
      <c r="AJ75" s="391" t="s">
        <v>220</v>
      </c>
      <c r="AK75" s="392" t="s">
        <v>221</v>
      </c>
      <c r="AL75" s="405" t="s">
        <v>222</v>
      </c>
      <c r="AM75" s="400"/>
      <c r="AN75" s="260"/>
    </row>
    <row r="76" spans="2:42" ht="15.75" thickBot="1" x14ac:dyDescent="0.25">
      <c r="B76" s="256"/>
      <c r="C76" s="247"/>
      <c r="D76" s="388"/>
      <c r="E76" s="247"/>
      <c r="F76" s="247"/>
      <c r="G76" s="247"/>
      <c r="H76" s="388"/>
      <c r="I76" s="245"/>
      <c r="J76" s="402"/>
      <c r="K76" s="246"/>
      <c r="L76" s="246"/>
      <c r="M76" s="246"/>
      <c r="N76" s="246"/>
      <c r="O76" s="403"/>
      <c r="P76" s="404"/>
      <c r="Q76" s="404"/>
      <c r="R76" s="404"/>
      <c r="T76" s="259"/>
      <c r="U76" s="259"/>
      <c r="V76" s="259"/>
      <c r="W76" s="259"/>
      <c r="X76" s="259"/>
      <c r="Y76" s="259"/>
      <c r="Z76" s="259"/>
      <c r="AA76" s="259"/>
      <c r="AB76" s="259"/>
      <c r="AC76" s="259"/>
      <c r="AD76" s="259"/>
      <c r="AE76" s="259"/>
      <c r="AF76" s="259"/>
      <c r="AG76" s="259"/>
      <c r="AH76" s="259"/>
      <c r="AI76" s="259"/>
      <c r="AJ76" s="391"/>
      <c r="AK76" s="392"/>
      <c r="AL76" s="405"/>
      <c r="AM76" s="400"/>
      <c r="AN76" s="260"/>
    </row>
    <row r="77" spans="2:42" ht="40.5" customHeight="1" thickBot="1" x14ac:dyDescent="0.25">
      <c r="B77" s="1268" t="s">
        <v>198</v>
      </c>
      <c r="C77" s="1271" t="s">
        <v>176</v>
      </c>
      <c r="D77" s="1311" t="s">
        <v>223</v>
      </c>
      <c r="E77" s="1312"/>
      <c r="F77" s="1313"/>
      <c r="G77" s="1326" t="s">
        <v>224</v>
      </c>
      <c r="H77" s="1327"/>
      <c r="I77" s="1327"/>
      <c r="J77" s="1327"/>
      <c r="K77" s="1327"/>
      <c r="L77" s="1327"/>
      <c r="M77" s="1328"/>
      <c r="N77" s="406"/>
      <c r="O77" s="406"/>
      <c r="P77" s="406"/>
      <c r="Q77" s="255"/>
      <c r="R77" s="255"/>
      <c r="S77" s="255"/>
      <c r="T77" s="259"/>
      <c r="U77" s="259"/>
      <c r="V77" s="259"/>
      <c r="W77" s="259"/>
      <c r="X77" s="259"/>
      <c r="Y77" s="259"/>
      <c r="Z77" s="259"/>
      <c r="AA77" s="259"/>
      <c r="AB77" s="259"/>
      <c r="AC77" s="259"/>
      <c r="AD77" s="259"/>
      <c r="AE77" s="259"/>
      <c r="AF77" s="259"/>
      <c r="AG77" s="259"/>
      <c r="AH77" s="259"/>
      <c r="AI77" s="259"/>
      <c r="AJ77" s="391" t="s">
        <v>225</v>
      </c>
      <c r="AK77" s="392" t="s">
        <v>221</v>
      </c>
      <c r="AL77" s="392" t="s">
        <v>114</v>
      </c>
      <c r="AM77" s="400"/>
      <c r="AN77" s="260"/>
    </row>
    <row r="78" spans="2:42" ht="56.25" x14ac:dyDescent="0.2">
      <c r="B78" s="1269"/>
      <c r="C78" s="1273"/>
      <c r="D78" s="601" t="s">
        <v>226</v>
      </c>
      <c r="E78" s="602" t="s">
        <v>227</v>
      </c>
      <c r="F78" s="335" t="s">
        <v>414</v>
      </c>
      <c r="G78" s="338" t="s">
        <v>190</v>
      </c>
      <c r="H78" s="336" t="s">
        <v>191</v>
      </c>
      <c r="I78" s="337" t="s">
        <v>192</v>
      </c>
      <c r="J78" s="337" t="s">
        <v>412</v>
      </c>
      <c r="K78" s="337" t="s">
        <v>413</v>
      </c>
      <c r="L78" s="338" t="s">
        <v>193</v>
      </c>
      <c r="M78" s="336" t="s">
        <v>194</v>
      </c>
      <c r="N78" s="407" t="s">
        <v>228</v>
      </c>
      <c r="O78" s="407" t="s">
        <v>411</v>
      </c>
      <c r="P78" s="571" t="s">
        <v>229</v>
      </c>
      <c r="Q78" s="255"/>
      <c r="R78" s="255"/>
      <c r="S78" s="255"/>
      <c r="T78" s="255"/>
      <c r="U78" s="255"/>
      <c r="V78" s="255"/>
      <c r="W78" s="255"/>
      <c r="Z78" s="259"/>
      <c r="AA78" s="259"/>
      <c r="AB78" s="259"/>
      <c r="AC78" s="259"/>
      <c r="AD78" s="259"/>
      <c r="AE78" s="259"/>
      <c r="AF78" s="259"/>
      <c r="AG78" s="259"/>
      <c r="AH78" s="259"/>
      <c r="AI78" s="259"/>
      <c r="AJ78" s="259"/>
      <c r="AK78" s="259"/>
      <c r="AL78" s="260"/>
      <c r="AM78" s="260"/>
      <c r="AN78" s="260"/>
      <c r="AO78" s="260"/>
    </row>
    <row r="79" spans="2:42" ht="18.75" thickBot="1" x14ac:dyDescent="0.25">
      <c r="B79" s="1309"/>
      <c r="C79" s="1310"/>
      <c r="D79" s="721" t="s">
        <v>64</v>
      </c>
      <c r="E79" s="549" t="s">
        <v>158</v>
      </c>
      <c r="F79" s="721" t="s">
        <v>183</v>
      </c>
      <c r="G79" s="323" t="s">
        <v>64</v>
      </c>
      <c r="H79" s="324" t="s">
        <v>64</v>
      </c>
      <c r="I79" s="562" t="s">
        <v>64</v>
      </c>
      <c r="J79" s="562" t="s">
        <v>64</v>
      </c>
      <c r="K79" s="562" t="s">
        <v>64</v>
      </c>
      <c r="L79" s="323" t="s">
        <v>158</v>
      </c>
      <c r="M79" s="324" t="s">
        <v>158</v>
      </c>
      <c r="N79" s="344" t="s">
        <v>158</v>
      </c>
      <c r="O79" s="344" t="s">
        <v>158</v>
      </c>
      <c r="P79" s="722" t="s">
        <v>158</v>
      </c>
      <c r="Q79" s="255"/>
      <c r="R79" s="255"/>
      <c r="S79" s="255"/>
      <c r="T79" s="255"/>
      <c r="U79" s="255"/>
      <c r="V79" s="255"/>
      <c r="W79" s="255"/>
      <c r="Z79" s="259"/>
      <c r="AA79" s="259"/>
      <c r="AB79" s="259"/>
      <c r="AC79" s="259"/>
      <c r="AD79" s="259"/>
      <c r="AE79" s="259"/>
      <c r="AF79" s="259"/>
      <c r="AG79" s="259"/>
      <c r="AH79" s="259"/>
      <c r="AI79" s="259"/>
      <c r="AJ79" s="259"/>
      <c r="AK79" s="259"/>
      <c r="AL79" s="260"/>
      <c r="AM79" s="260"/>
      <c r="AN79" s="260"/>
      <c r="AO79" s="260"/>
    </row>
    <row r="80" spans="2:42" ht="49.5" customHeight="1" x14ac:dyDescent="0.2">
      <c r="B80" s="893" t="str">
        <f t="shared" ref="B80:C82" si="8">B61</f>
        <v>Merjeni</v>
      </c>
      <c r="C80" s="896" t="str">
        <f t="shared" si="8"/>
        <v>OGREVANJE</v>
      </c>
      <c r="D80" s="940" t="e">
        <f>ROUND(U71,0)</f>
        <v>#DIV/0!</v>
      </c>
      <c r="E80" s="944" t="e">
        <f ca="1">V71</f>
        <v>#DIV/0!</v>
      </c>
      <c r="F80" s="599">
        <f ca="1">ROUND(IFERROR(E80/D80,0),15)</f>
        <v>0</v>
      </c>
      <c r="G80" s="882" t="e">
        <f>ROUND(G52-D80,0)</f>
        <v>#DIV/0!</v>
      </c>
      <c r="H80" s="883"/>
      <c r="I80" s="884" t="e">
        <f>SUM(G80:H80)</f>
        <v>#DIV/0!</v>
      </c>
      <c r="J80" s="884">
        <f ca="1">ROUND(J61,0)</f>
        <v>121262</v>
      </c>
      <c r="K80" s="924" t="e">
        <f ca="1">ROUND(I80-J80,0)</f>
        <v>#DIV/0!</v>
      </c>
      <c r="L80" s="870" t="e">
        <f ca="1">ROUND(I52-E80,2)</f>
        <v>#DIV/0!</v>
      </c>
      <c r="M80" s="871"/>
      <c r="N80" s="600" t="e">
        <f ca="1">SUM(L80:M80)</f>
        <v>#DIV/0!</v>
      </c>
      <c r="O80" s="600">
        <f ca="1">M61</f>
        <v>13945.13</v>
      </c>
      <c r="P80" s="872" t="e">
        <f ca="1">ROUND(N80-O80,2)</f>
        <v>#DIV/0!</v>
      </c>
      <c r="Q80" s="255"/>
      <c r="R80" s="255"/>
      <c r="S80" s="255"/>
      <c r="T80" s="255"/>
      <c r="U80" s="255"/>
      <c r="V80" s="255"/>
      <c r="W80" s="255"/>
      <c r="Z80" s="259"/>
      <c r="AA80" s="259"/>
      <c r="AB80" s="259"/>
      <c r="AC80" s="259"/>
      <c r="AD80" s="259"/>
      <c r="AE80" s="259"/>
      <c r="AF80" s="259"/>
      <c r="AG80" s="259"/>
      <c r="AH80" s="259"/>
      <c r="AI80" s="259"/>
      <c r="AJ80" s="259"/>
      <c r="AK80" s="259"/>
      <c r="AL80" s="260"/>
      <c r="AM80" s="260"/>
      <c r="AN80" s="260"/>
      <c r="AO80" s="260"/>
    </row>
    <row r="81" spans="2:41" ht="49.5" customHeight="1" x14ac:dyDescent="0.2">
      <c r="B81" s="894" t="str">
        <f t="shared" si="8"/>
        <v>Merjeni</v>
      </c>
      <c r="C81" s="897" t="str">
        <f t="shared" si="8"/>
        <v>SANITARNA TOPLA VODA</v>
      </c>
      <c r="D81" s="941" t="e">
        <f t="shared" ref="D81:D82" si="9">ROUND(U72,0)</f>
        <v>#DIV/0!</v>
      </c>
      <c r="E81" s="944" t="e">
        <f ca="1">V72</f>
        <v>#DIV/0!</v>
      </c>
      <c r="F81" s="409">
        <f t="shared" ref="F81:F82" ca="1" si="10">ROUND(IFERROR(E81/D81,0),15)</f>
        <v>0</v>
      </c>
      <c r="G81" s="864" t="e">
        <f>ROUND(G53-D81,0)</f>
        <v>#DIV/0!</v>
      </c>
      <c r="H81" s="865"/>
      <c r="I81" s="873" t="e">
        <f>SUM(G81:H81)</f>
        <v>#DIV/0!</v>
      </c>
      <c r="J81" s="873">
        <f ca="1">ROUND(J62,0)</f>
        <v>21399</v>
      </c>
      <c r="K81" s="925" t="e">
        <f t="shared" ref="K81:K82" ca="1" si="11">ROUND(I81-J81,0)</f>
        <v>#DIV/0!</v>
      </c>
      <c r="L81" s="874" t="e">
        <f ca="1">I53-E81</f>
        <v>#DIV/0!</v>
      </c>
      <c r="M81" s="875"/>
      <c r="N81" s="410" t="e">
        <f ca="1">SUM(L81:M81)</f>
        <v>#DIV/0!</v>
      </c>
      <c r="O81" s="410">
        <f ca="1">M62</f>
        <v>2460.89</v>
      </c>
      <c r="P81" s="876" t="e">
        <f ca="1">ROUND(N81-O81,2)</f>
        <v>#DIV/0!</v>
      </c>
      <c r="Q81" s="255"/>
      <c r="R81" s="255"/>
      <c r="S81" s="255"/>
      <c r="T81" s="255"/>
      <c r="U81" s="255"/>
      <c r="V81" s="255"/>
      <c r="W81" s="255"/>
      <c r="Z81" s="259"/>
      <c r="AA81" s="259"/>
      <c r="AB81" s="259"/>
      <c r="AC81" s="259"/>
      <c r="AD81" s="259"/>
      <c r="AE81" s="259"/>
      <c r="AF81" s="259"/>
      <c r="AG81" s="259"/>
      <c r="AH81" s="259"/>
      <c r="AI81" s="259"/>
      <c r="AJ81" s="259"/>
      <c r="AK81" s="259"/>
      <c r="AL81" s="260"/>
      <c r="AM81" s="260"/>
      <c r="AN81" s="260"/>
      <c r="AO81" s="260"/>
    </row>
    <row r="82" spans="2:41" ht="49.5" customHeight="1" x14ac:dyDescent="0.2">
      <c r="B82" s="894" t="str">
        <f t="shared" si="8"/>
        <v>Normirani</v>
      </c>
      <c r="C82" s="897" t="str">
        <f t="shared" si="8"/>
        <v>MEHANSKO PREZRAČEVANJE</v>
      </c>
      <c r="D82" s="942">
        <f t="shared" ca="1" si="9"/>
        <v>0</v>
      </c>
      <c r="E82" s="945">
        <f ca="1">V73</f>
        <v>0</v>
      </c>
      <c r="F82" s="409">
        <f t="shared" ca="1" si="10"/>
        <v>0</v>
      </c>
      <c r="G82" s="866"/>
      <c r="H82" s="867">
        <f ca="1">ROUND(I63,0)</f>
        <v>0</v>
      </c>
      <c r="I82" s="873">
        <f ca="1">SUM(G82:H82)</f>
        <v>0</v>
      </c>
      <c r="J82" s="873">
        <f ca="1">ROUND(J63,0)</f>
        <v>0</v>
      </c>
      <c r="K82" s="925">
        <f t="shared" ca="1" si="11"/>
        <v>0</v>
      </c>
      <c r="L82" s="877"/>
      <c r="M82" s="878">
        <f ca="1">L63</f>
        <v>0</v>
      </c>
      <c r="N82" s="410">
        <f ca="1">SUM(L82:M82)</f>
        <v>0</v>
      </c>
      <c r="O82" s="410">
        <f ca="1">M63</f>
        <v>0</v>
      </c>
      <c r="P82" s="876">
        <f ca="1">ROUND(N82-O82,2)</f>
        <v>0</v>
      </c>
      <c r="Q82" s="255"/>
      <c r="R82" s="255"/>
      <c r="S82" s="255"/>
      <c r="T82" s="255"/>
      <c r="U82" s="255"/>
      <c r="V82" s="255"/>
      <c r="W82" s="255"/>
      <c r="Z82" s="259"/>
      <c r="AA82" s="259"/>
      <c r="AB82" s="259"/>
      <c r="AC82" s="259"/>
      <c r="AD82" s="259"/>
      <c r="AE82" s="259"/>
      <c r="AF82" s="259"/>
      <c r="AG82" s="259"/>
      <c r="AH82" s="259"/>
      <c r="AI82" s="259"/>
      <c r="AJ82" s="259"/>
      <c r="AK82" s="259"/>
      <c r="AL82" s="260"/>
      <c r="AM82" s="260"/>
      <c r="AN82" s="260"/>
      <c r="AO82" s="260"/>
    </row>
    <row r="83" spans="2:41" ht="49.5" customHeight="1" thickBot="1" x14ac:dyDescent="0.25">
      <c r="B83" s="895"/>
      <c r="C83" s="898"/>
      <c r="D83" s="942"/>
      <c r="E83" s="946"/>
      <c r="F83" s="885"/>
      <c r="G83" s="886"/>
      <c r="H83" s="723"/>
      <c r="I83" s="887"/>
      <c r="J83" s="887"/>
      <c r="K83" s="926"/>
      <c r="L83" s="888"/>
      <c r="M83" s="889"/>
      <c r="N83" s="890"/>
      <c r="O83" s="890"/>
      <c r="P83" s="891"/>
      <c r="Q83" s="255"/>
      <c r="R83" s="255"/>
      <c r="S83" s="255"/>
      <c r="T83" s="255"/>
      <c r="U83" s="255"/>
      <c r="V83" s="255"/>
      <c r="W83" s="255"/>
      <c r="Z83" s="259"/>
      <c r="AA83" s="259"/>
      <c r="AB83" s="259"/>
      <c r="AC83" s="259"/>
      <c r="AD83" s="259"/>
      <c r="AE83" s="259"/>
      <c r="AF83" s="259"/>
      <c r="AG83" s="259"/>
      <c r="AH83" s="259"/>
      <c r="AI83" s="259"/>
      <c r="AJ83" s="259"/>
      <c r="AK83" s="259"/>
      <c r="AL83" s="260"/>
      <c r="AM83" s="260"/>
      <c r="AN83" s="260"/>
      <c r="AO83" s="260"/>
    </row>
    <row r="84" spans="2:41" ht="39" customHeight="1" thickBot="1" x14ac:dyDescent="0.25">
      <c r="B84" s="892"/>
      <c r="C84" s="720" t="s">
        <v>163</v>
      </c>
      <c r="D84" s="943" t="e">
        <f>SUM(D80:D83)</f>
        <v>#DIV/0!</v>
      </c>
      <c r="E84" s="947" t="e">
        <f ca="1">SUM(E80:E83)</f>
        <v>#DIV/0!</v>
      </c>
      <c r="F84" s="411">
        <f ca="1">ROUND(IFERROR(E84/D84,0),5)</f>
        <v>0</v>
      </c>
      <c r="G84" s="868" t="e">
        <f>SUM(G80:G83)</f>
        <v>#DIV/0!</v>
      </c>
      <c r="H84" s="869">
        <f ca="1">SUM(H80:H83)</f>
        <v>0</v>
      </c>
      <c r="I84" s="879" t="e">
        <f>SUM(G84:H84)</f>
        <v>#DIV/0!</v>
      </c>
      <c r="J84" s="879">
        <f t="shared" ref="J84:P84" ca="1" si="12">SUM(J80:J83)</f>
        <v>142661</v>
      </c>
      <c r="K84" s="927" t="e">
        <f t="shared" ca="1" si="12"/>
        <v>#DIV/0!</v>
      </c>
      <c r="L84" s="385" t="e">
        <f t="shared" ca="1" si="12"/>
        <v>#DIV/0!</v>
      </c>
      <c r="M84" s="880">
        <f t="shared" ca="1" si="12"/>
        <v>0</v>
      </c>
      <c r="N84" s="412" t="e">
        <f t="shared" ca="1" si="12"/>
        <v>#DIV/0!</v>
      </c>
      <c r="O84" s="412">
        <f t="shared" ca="1" si="12"/>
        <v>16406.02</v>
      </c>
      <c r="P84" s="881" t="e">
        <f t="shared" ca="1" si="12"/>
        <v>#DIV/0!</v>
      </c>
      <c r="Q84" s="255"/>
      <c r="R84" s="255"/>
      <c r="S84" s="255"/>
      <c r="T84" s="255"/>
      <c r="U84" s="255"/>
      <c r="V84" s="255"/>
      <c r="W84" s="255"/>
      <c r="Z84" s="259"/>
      <c r="AA84" s="259"/>
      <c r="AB84" s="259"/>
      <c r="AC84" s="259"/>
      <c r="AD84" s="259"/>
      <c r="AE84" s="259"/>
      <c r="AF84" s="259"/>
      <c r="AG84" s="259"/>
      <c r="AH84" s="259"/>
      <c r="AI84" s="259"/>
      <c r="AJ84" s="259"/>
      <c r="AK84" s="259"/>
      <c r="AL84" s="260"/>
      <c r="AM84" s="260"/>
      <c r="AN84" s="260"/>
      <c r="AO84" s="260"/>
    </row>
    <row r="85" spans="2:41" ht="18" x14ac:dyDescent="0.2">
      <c r="B85" s="256"/>
      <c r="C85" s="247"/>
      <c r="D85" s="247"/>
      <c r="E85" s="413"/>
      <c r="F85" s="247"/>
      <c r="G85" s="247"/>
      <c r="H85" s="247"/>
      <c r="I85" s="245"/>
      <c r="J85" s="246"/>
      <c r="K85" s="414"/>
      <c r="L85" s="246"/>
      <c r="M85" s="414"/>
      <c r="N85" s="246"/>
      <c r="O85" s="247"/>
      <c r="P85" s="247"/>
      <c r="Q85" s="255"/>
      <c r="R85" s="255"/>
      <c r="S85" s="255"/>
      <c r="T85" s="255"/>
      <c r="U85" s="255"/>
      <c r="V85" s="255"/>
      <c r="Y85" s="259"/>
      <c r="Z85" s="259"/>
      <c r="AA85" s="259"/>
      <c r="AB85" s="259"/>
      <c r="AC85" s="259"/>
      <c r="AD85" s="259"/>
      <c r="AE85" s="259"/>
      <c r="AF85" s="259"/>
      <c r="AG85" s="259"/>
      <c r="AH85" s="259"/>
      <c r="AI85" s="259"/>
      <c r="AJ85" s="259"/>
      <c r="AK85" s="260"/>
      <c r="AL85" s="260"/>
      <c r="AM85" s="260"/>
      <c r="AN85" s="260"/>
    </row>
    <row r="86" spans="2:41" ht="18.75" thickBot="1" x14ac:dyDescent="0.25">
      <c r="B86" s="256"/>
      <c r="C86" s="247"/>
      <c r="D86" s="247"/>
      <c r="E86" s="247"/>
      <c r="F86" s="247"/>
      <c r="G86" s="247"/>
      <c r="H86" s="247"/>
      <c r="I86" s="245"/>
      <c r="J86" s="246"/>
      <c r="K86" s="246"/>
      <c r="L86" s="246"/>
      <c r="M86" s="246"/>
      <c r="N86" s="246"/>
      <c r="O86" s="247"/>
      <c r="P86" s="247"/>
      <c r="Q86" s="247"/>
      <c r="R86" s="247"/>
      <c r="S86" s="247"/>
      <c r="T86" s="255"/>
      <c r="U86" s="255"/>
      <c r="V86" s="255"/>
      <c r="Y86" s="259"/>
      <c r="Z86" s="259"/>
      <c r="AA86" s="259"/>
      <c r="AB86" s="259"/>
      <c r="AC86" s="259"/>
      <c r="AD86" s="259"/>
      <c r="AE86" s="259"/>
      <c r="AF86" s="259"/>
      <c r="AG86" s="259"/>
      <c r="AH86" s="259"/>
      <c r="AI86" s="259"/>
      <c r="AJ86" s="259"/>
      <c r="AK86" s="260"/>
      <c r="AL86" s="260"/>
      <c r="AM86" s="260"/>
      <c r="AN86" s="260"/>
    </row>
    <row r="87" spans="2:41" ht="30.75" thickBot="1" x14ac:dyDescent="0.25">
      <c r="B87" s="302" t="s">
        <v>230</v>
      </c>
      <c r="C87" s="303"/>
      <c r="D87" s="303"/>
      <c r="E87" s="303"/>
      <c r="F87" s="303"/>
      <c r="G87" s="303"/>
      <c r="H87" s="303"/>
      <c r="I87" s="303"/>
      <c r="J87" s="303"/>
      <c r="K87" s="303"/>
      <c r="L87" s="303"/>
      <c r="M87" s="303"/>
      <c r="N87" s="303"/>
      <c r="O87" s="303"/>
      <c r="P87" s="303"/>
      <c r="Q87" s="303"/>
      <c r="R87" s="303"/>
      <c r="S87" s="303"/>
      <c r="T87" s="303"/>
      <c r="U87" s="303"/>
      <c r="V87" s="304"/>
      <c r="Y87" s="259"/>
      <c r="Z87" s="259"/>
      <c r="AA87" s="259"/>
      <c r="AB87" s="259"/>
      <c r="AC87" s="259"/>
      <c r="AD87" s="259"/>
      <c r="AE87" s="259"/>
      <c r="AF87" s="259"/>
      <c r="AG87" s="259"/>
      <c r="AH87" s="259"/>
      <c r="AI87" s="259"/>
      <c r="AJ87" s="259"/>
      <c r="AK87" s="260"/>
      <c r="AL87" s="260"/>
      <c r="AM87" s="260"/>
      <c r="AN87" s="260"/>
    </row>
    <row r="88" spans="2:41" ht="18.75" thickBot="1" x14ac:dyDescent="0.25">
      <c r="B88" s="256"/>
      <c r="C88" s="247"/>
      <c r="D88" s="247"/>
      <c r="E88" s="247"/>
      <c r="F88" s="247"/>
      <c r="G88" s="247"/>
      <c r="H88" s="247"/>
      <c r="I88" s="245"/>
      <c r="J88" s="246"/>
      <c r="K88" s="246"/>
      <c r="L88" s="246"/>
      <c r="M88" s="246"/>
      <c r="N88" s="246"/>
      <c r="O88" s="247"/>
      <c r="P88" s="247"/>
      <c r="Q88" s="247"/>
      <c r="R88" s="247"/>
      <c r="S88" s="247"/>
      <c r="T88" s="255"/>
      <c r="U88" s="255"/>
      <c r="V88" s="255"/>
      <c r="Y88" s="259"/>
      <c r="Z88" s="259"/>
      <c r="AA88" s="259"/>
      <c r="AB88" s="259"/>
      <c r="AC88" s="259"/>
      <c r="AD88" s="259"/>
      <c r="AE88" s="259"/>
      <c r="AF88" s="259"/>
      <c r="AG88" s="259"/>
      <c r="AH88" s="259"/>
      <c r="AI88" s="259"/>
      <c r="AJ88" s="259"/>
      <c r="AK88" s="260"/>
      <c r="AL88" s="260"/>
      <c r="AM88" s="260"/>
      <c r="AN88" s="260"/>
    </row>
    <row r="89" spans="2:41" ht="35.25" customHeight="1" thickBot="1" x14ac:dyDescent="0.25">
      <c r="B89" s="361" t="s">
        <v>174</v>
      </c>
      <c r="C89" s="316"/>
      <c r="D89" s="316"/>
      <c r="E89" s="316"/>
      <c r="F89" s="316"/>
      <c r="G89" s="316"/>
      <c r="H89" s="316"/>
      <c r="I89" s="316"/>
      <c r="J89" s="316"/>
      <c r="K89" s="316"/>
      <c r="L89" s="316"/>
      <c r="M89" s="316"/>
      <c r="N89" s="316"/>
      <c r="O89" s="317"/>
      <c r="P89" s="246"/>
      <c r="Q89" s="246"/>
      <c r="R89" s="246"/>
      <c r="S89" s="246"/>
      <c r="T89" s="246"/>
      <c r="U89" s="246"/>
      <c r="V89" s="246"/>
      <c r="Y89" s="259"/>
      <c r="Z89" s="259"/>
      <c r="AA89" s="259"/>
      <c r="AB89" s="259"/>
      <c r="AC89" s="259"/>
      <c r="AD89" s="259"/>
      <c r="AE89" s="259"/>
      <c r="AF89" s="259"/>
      <c r="AG89" s="259"/>
      <c r="AH89" s="259"/>
      <c r="AI89" s="259"/>
      <c r="AJ89" s="259"/>
      <c r="AK89" s="260"/>
      <c r="AL89" s="260"/>
      <c r="AM89" s="260"/>
      <c r="AN89" s="260"/>
    </row>
    <row r="90" spans="2:41" ht="25.5" customHeight="1" thickBot="1" x14ac:dyDescent="0.25">
      <c r="B90" s="1268" t="s">
        <v>175</v>
      </c>
      <c r="C90" s="1271" t="s">
        <v>231</v>
      </c>
      <c r="D90" s="1289" t="s">
        <v>338</v>
      </c>
      <c r="E90" s="1268" t="s">
        <v>336</v>
      </c>
      <c r="F90" s="1277" t="s">
        <v>337</v>
      </c>
      <c r="G90" s="1302" t="s">
        <v>234</v>
      </c>
      <c r="H90" s="1311" t="s">
        <v>235</v>
      </c>
      <c r="I90" s="1312"/>
      <c r="J90" s="1313"/>
      <c r="K90" s="1311" t="s">
        <v>188</v>
      </c>
      <c r="L90" s="1312"/>
      <c r="M90" s="1312"/>
      <c r="N90" s="1312"/>
      <c r="O90" s="1313"/>
      <c r="P90" s="246"/>
      <c r="Q90" s="246"/>
      <c r="R90" s="246"/>
      <c r="S90" s="246"/>
      <c r="T90" s="246"/>
      <c r="U90" s="246"/>
      <c r="V90" s="246"/>
      <c r="Y90" s="259"/>
      <c r="Z90" s="259"/>
      <c r="AA90" s="259"/>
      <c r="AB90" s="259"/>
      <c r="AC90" s="259"/>
      <c r="AD90" s="259"/>
      <c r="AE90" s="259"/>
      <c r="AF90" s="259"/>
      <c r="AG90" s="259"/>
      <c r="AH90" s="259"/>
      <c r="AI90" s="259"/>
      <c r="AJ90" s="259"/>
      <c r="AK90" s="260"/>
      <c r="AL90" s="260"/>
      <c r="AM90" s="260"/>
      <c r="AN90" s="260"/>
    </row>
    <row r="91" spans="2:41" ht="25.5" x14ac:dyDescent="0.2">
      <c r="B91" s="1270"/>
      <c r="C91" s="1275"/>
      <c r="D91" s="1290"/>
      <c r="E91" s="1270"/>
      <c r="F91" s="1279"/>
      <c r="G91" s="1304"/>
      <c r="H91" s="374" t="s">
        <v>339</v>
      </c>
      <c r="I91" s="337" t="s">
        <v>237</v>
      </c>
      <c r="J91" s="339" t="s">
        <v>238</v>
      </c>
      <c r="K91" s="335" t="s">
        <v>340</v>
      </c>
      <c r="L91" s="336" t="s">
        <v>341</v>
      </c>
      <c r="M91" s="335" t="s">
        <v>342</v>
      </c>
      <c r="N91" s="336" t="s">
        <v>343</v>
      </c>
      <c r="O91" s="341" t="s">
        <v>195</v>
      </c>
      <c r="P91" s="415"/>
      <c r="Q91" s="415"/>
      <c r="R91" s="415"/>
      <c r="S91" s="415"/>
      <c r="T91" s="415"/>
      <c r="U91" s="415"/>
      <c r="V91" s="415"/>
      <c r="Y91" s="259"/>
      <c r="Z91" s="259"/>
      <c r="AA91" s="259"/>
      <c r="AB91" s="259"/>
      <c r="AC91" s="259"/>
      <c r="AD91" s="259"/>
      <c r="AE91" s="259"/>
      <c r="AF91" s="259"/>
      <c r="AG91" s="259"/>
      <c r="AH91" s="259"/>
      <c r="AI91" s="259"/>
      <c r="AJ91" s="259"/>
      <c r="AK91" s="260"/>
      <c r="AL91" s="260"/>
      <c r="AM91" s="260"/>
      <c r="AN91" s="260"/>
    </row>
    <row r="92" spans="2:41" ht="21.75" customHeight="1" thickBot="1" x14ac:dyDescent="0.25">
      <c r="B92" s="362"/>
      <c r="C92" s="416"/>
      <c r="D92" s="417"/>
      <c r="E92" s="342" t="s">
        <v>64</v>
      </c>
      <c r="F92" s="343" t="s">
        <v>182</v>
      </c>
      <c r="G92" s="418" t="s">
        <v>158</v>
      </c>
      <c r="H92" s="419" t="s">
        <v>64</v>
      </c>
      <c r="I92" s="549" t="s">
        <v>183</v>
      </c>
      <c r="J92" s="375" t="s">
        <v>158</v>
      </c>
      <c r="K92" s="547" t="s">
        <v>64</v>
      </c>
      <c r="L92" s="548" t="s">
        <v>64</v>
      </c>
      <c r="M92" s="420" t="s">
        <v>158</v>
      </c>
      <c r="N92" s="324" t="s">
        <v>158</v>
      </c>
      <c r="O92" s="345" t="s">
        <v>158</v>
      </c>
      <c r="P92" s="415"/>
      <c r="Q92" s="415"/>
      <c r="R92" s="415"/>
      <c r="S92" s="415"/>
      <c r="T92" s="415"/>
      <c r="U92" s="415"/>
      <c r="V92" s="415"/>
      <c r="Y92" s="259"/>
      <c r="Z92" s="259"/>
      <c r="AA92" s="259"/>
      <c r="AB92" s="259"/>
      <c r="AC92" s="259"/>
      <c r="AD92" s="259"/>
      <c r="AE92" s="259"/>
      <c r="AF92" s="259"/>
      <c r="AG92" s="259"/>
      <c r="AH92" s="259"/>
      <c r="AI92" s="259"/>
      <c r="AJ92" s="259"/>
      <c r="AK92" s="260"/>
      <c r="AL92" s="260"/>
      <c r="AM92" s="260"/>
      <c r="AN92" s="260"/>
    </row>
    <row r="93" spans="2:41" ht="33" customHeight="1" x14ac:dyDescent="0.2">
      <c r="B93" s="421" t="s">
        <v>187</v>
      </c>
      <c r="C93" s="422" t="s">
        <v>120</v>
      </c>
      <c r="D93" s="423" t="s">
        <v>239</v>
      </c>
      <c r="E93" s="424">
        <f>INDEX('Referenčne količine'!$D41:$G41,MATCH(ObračunOB001!$C$3,'Referenčne količine'!$D$6:$G$6))</f>
        <v>16250</v>
      </c>
      <c r="F93" s="1211">
        <f>INDEX('Referenčne količine'!$D44:$G44,MATCH(ObračunOB001!$C$3,'Referenčne količine'!$D$6:$G$6))/1000</f>
        <v>0.16700000000000001</v>
      </c>
      <c r="G93" s="369">
        <f>E93*$F$93</f>
        <v>2713.75</v>
      </c>
      <c r="H93" s="327" cm="1">
        <f t="array" aca="1" ref="H93" ca="1">INDIRECT($C$3&amp;"!I90")</f>
        <v>0</v>
      </c>
      <c r="I93" s="1211" cm="1">
        <f t="array" aca="1" ref="I93" ca="1">INDIRECT($C$3&amp;"!E76")/1000</f>
        <v>0.16700000000000001</v>
      </c>
      <c r="J93" s="354">
        <f ca="1">H93*$I$93</f>
        <v>0</v>
      </c>
      <c r="K93" s="425">
        <v>0</v>
      </c>
      <c r="L93" s="580">
        <f ca="1">IF(D93="DA",E93-H93,0)</f>
        <v>16250</v>
      </c>
      <c r="M93" s="427">
        <f ca="1">IF(D93="DA",H93*(F93-I93),0)</f>
        <v>0</v>
      </c>
      <c r="N93" s="428">
        <f ca="1">IF(D93="DA",E93*$F$93-H93*$I$93,0)</f>
        <v>2713.75</v>
      </c>
      <c r="O93" s="349">
        <f ca="1">SUM(M93:N93)</f>
        <v>2713.75</v>
      </c>
      <c r="P93" s="251"/>
      <c r="Q93" s="251"/>
      <c r="R93" s="251"/>
      <c r="S93" s="251"/>
      <c r="T93" s="251"/>
      <c r="U93" s="251"/>
      <c r="V93" s="251"/>
      <c r="Y93" s="259"/>
      <c r="Z93" s="259"/>
      <c r="AA93" s="259"/>
      <c r="AB93" s="259"/>
      <c r="AC93" s="259"/>
      <c r="AD93" s="259"/>
      <c r="AE93" s="259"/>
      <c r="AF93" s="259"/>
      <c r="AG93" s="259"/>
      <c r="AH93" s="259"/>
      <c r="AI93" s="259"/>
      <c r="AJ93" s="259"/>
      <c r="AK93" s="260"/>
      <c r="AL93" s="260"/>
      <c r="AM93" s="260"/>
      <c r="AN93" s="260"/>
    </row>
    <row r="94" spans="2:41" ht="33" customHeight="1" x14ac:dyDescent="0.2">
      <c r="B94" s="577" t="s">
        <v>187</v>
      </c>
      <c r="C94" s="572" t="s">
        <v>300</v>
      </c>
      <c r="D94" s="573" t="s">
        <v>239</v>
      </c>
      <c r="E94" s="574">
        <f>INDEX('Referenčne količine'!$D42:$G42,MATCH(ObračunOB001!$C$3,'Referenčne količine'!$D$6:$G$6))</f>
        <v>0</v>
      </c>
      <c r="F94" s="1212"/>
      <c r="G94" s="328">
        <f t="shared" ref="G94:G95" si="13">E94*$F$93</f>
        <v>0</v>
      </c>
      <c r="H94" s="327" cm="1">
        <f t="array" aca="1" ref="H94" ca="1">INDIRECT($C$3&amp;"!J90")</f>
        <v>0</v>
      </c>
      <c r="I94" s="1212"/>
      <c r="J94" s="354">
        <f t="shared" ref="J94:J95" ca="1" si="14">H94*$I$93</f>
        <v>0</v>
      </c>
      <c r="K94" s="425">
        <v>0</v>
      </c>
      <c r="L94" s="575">
        <f ca="1">IF(D94="DA",E94-H94,0)</f>
        <v>0</v>
      </c>
      <c r="M94" s="434">
        <f ca="1">IF(D94="DA",H94*(F94-I94),0)</f>
        <v>0</v>
      </c>
      <c r="N94" s="576">
        <f ca="1">IF(D94="DA",E94*$F$93-H94*$I$93,0)</f>
        <v>0</v>
      </c>
      <c r="O94" s="581">
        <f t="shared" ref="O94:O95" ca="1" si="15">SUM(M94:N94)</f>
        <v>0</v>
      </c>
      <c r="P94" s="251"/>
      <c r="Q94" s="251"/>
      <c r="R94" s="251"/>
      <c r="S94" s="251"/>
      <c r="T94" s="251"/>
      <c r="U94" s="251"/>
      <c r="V94" s="251"/>
      <c r="Y94" s="259"/>
      <c r="Z94" s="259"/>
      <c r="AA94" s="259"/>
      <c r="AB94" s="259"/>
      <c r="AC94" s="259"/>
      <c r="AD94" s="259"/>
      <c r="AE94" s="259"/>
      <c r="AF94" s="259"/>
      <c r="AG94" s="259"/>
      <c r="AH94" s="259"/>
      <c r="AI94" s="259"/>
      <c r="AJ94" s="259"/>
      <c r="AK94" s="260"/>
      <c r="AL94" s="260"/>
      <c r="AM94" s="260"/>
      <c r="AN94" s="260"/>
    </row>
    <row r="95" spans="2:41" ht="30.75" thickBot="1" x14ac:dyDescent="0.25">
      <c r="B95" s="429" t="s">
        <v>418</v>
      </c>
      <c r="C95" s="430" t="s">
        <v>240</v>
      </c>
      <c r="D95" s="431" t="s">
        <v>241</v>
      </c>
      <c r="E95" s="432">
        <f>INDEX('Referenčne količine'!$D43:$G43,MATCH(ObračunOB001!$C$3,'Referenčne količine'!$D$6:$G$6))</f>
        <v>18203.637500000001</v>
      </c>
      <c r="F95" s="1213"/>
      <c r="G95" s="371">
        <f t="shared" si="13"/>
        <v>3040.0074625000002</v>
      </c>
      <c r="H95" s="327" cm="1">
        <f t="array" aca="1" ref="H95" ca="1">INDIRECT($C$3&amp;"!K90")</f>
        <v>0</v>
      </c>
      <c r="I95" s="1314"/>
      <c r="J95" s="380">
        <f t="shared" ca="1" si="14"/>
        <v>0</v>
      </c>
      <c r="K95" s="425">
        <f>IF(D95="DA",E95-H95,0)</f>
        <v>0</v>
      </c>
      <c r="L95" s="433"/>
      <c r="M95" s="434">
        <f>IF(D95="DA",G95-J95,0)</f>
        <v>0</v>
      </c>
      <c r="N95" s="435"/>
      <c r="O95" s="457">
        <f t="shared" si="15"/>
        <v>0</v>
      </c>
      <c r="P95" s="251"/>
      <c r="Q95" s="251"/>
      <c r="R95" s="251"/>
      <c r="S95" s="251"/>
      <c r="T95" s="251"/>
      <c r="U95" s="251"/>
      <c r="V95" s="251"/>
      <c r="Y95" s="259"/>
      <c r="Z95" s="259"/>
      <c r="AA95" s="259"/>
      <c r="AB95" s="259"/>
      <c r="AC95" s="259"/>
      <c r="AD95" s="259"/>
      <c r="AE95" s="259"/>
      <c r="AF95" s="259"/>
      <c r="AG95" s="259"/>
      <c r="AH95" s="259"/>
      <c r="AI95" s="259"/>
      <c r="AJ95" s="259"/>
      <c r="AK95" s="260"/>
      <c r="AL95" s="260"/>
      <c r="AM95" s="260"/>
      <c r="AN95" s="260"/>
    </row>
    <row r="96" spans="2:41" ht="33" customHeight="1" thickBot="1" x14ac:dyDescent="0.25">
      <c r="B96" s="1203" t="s">
        <v>163</v>
      </c>
      <c r="C96" s="1204"/>
      <c r="D96" s="1205"/>
      <c r="E96" s="330">
        <f>SUM(E93:E95)</f>
        <v>34453.637499999997</v>
      </c>
      <c r="F96" s="331"/>
      <c r="G96" s="334">
        <f>SUM(G93:G95)</f>
        <v>5753.7574624999997</v>
      </c>
      <c r="H96" s="436">
        <f ca="1">SUM(H93:H95)</f>
        <v>0</v>
      </c>
      <c r="I96" s="437"/>
      <c r="J96" s="438">
        <f t="shared" ref="J96:O96" ca="1" si="16">SUM(J93:J95)</f>
        <v>0</v>
      </c>
      <c r="K96" s="439">
        <f t="shared" si="16"/>
        <v>0</v>
      </c>
      <c r="L96" s="440">
        <f t="shared" ca="1" si="16"/>
        <v>16250</v>
      </c>
      <c r="M96" s="441">
        <f t="shared" ca="1" si="16"/>
        <v>0</v>
      </c>
      <c r="N96" s="441">
        <f t="shared" ca="1" si="16"/>
        <v>2713.75</v>
      </c>
      <c r="O96" s="359">
        <f t="shared" ca="1" si="16"/>
        <v>2713.75</v>
      </c>
      <c r="P96" s="246"/>
      <c r="Q96" s="246"/>
      <c r="R96" s="246"/>
      <c r="S96" s="246"/>
      <c r="T96" s="246"/>
      <c r="U96" s="246"/>
      <c r="V96" s="246"/>
      <c r="Y96" s="259"/>
      <c r="Z96" s="259"/>
      <c r="AA96" s="259"/>
      <c r="AB96" s="259"/>
      <c r="AC96" s="259"/>
      <c r="AD96" s="259"/>
      <c r="AE96" s="259"/>
      <c r="AF96" s="259"/>
      <c r="AG96" s="259"/>
      <c r="AH96" s="259"/>
      <c r="AI96" s="259"/>
      <c r="AJ96" s="259"/>
      <c r="AK96" s="260"/>
      <c r="AL96" s="260"/>
      <c r="AM96" s="260"/>
      <c r="AN96" s="260"/>
    </row>
    <row r="97" spans="2:40" ht="15.75" thickBot="1" x14ac:dyDescent="0.25">
      <c r="B97" s="248" t="s">
        <v>196</v>
      </c>
      <c r="Y97" s="259"/>
      <c r="Z97" s="259"/>
      <c r="AA97" s="259"/>
      <c r="AB97" s="259"/>
      <c r="AC97" s="259"/>
      <c r="AD97" s="259"/>
      <c r="AE97" s="259"/>
      <c r="AF97" s="259"/>
      <c r="AG97" s="259"/>
      <c r="AH97" s="259"/>
      <c r="AI97" s="259"/>
      <c r="AJ97" s="259"/>
      <c r="AK97" s="260"/>
      <c r="AL97" s="260"/>
      <c r="AM97" s="260"/>
      <c r="AN97" s="260"/>
    </row>
    <row r="98" spans="2:40" ht="18.75" thickBot="1" x14ac:dyDescent="0.25">
      <c r="B98" s="361" t="s">
        <v>197</v>
      </c>
      <c r="C98" s="316"/>
      <c r="D98" s="316"/>
      <c r="E98" s="316"/>
      <c r="F98" s="316"/>
      <c r="G98" s="316"/>
      <c r="H98" s="316"/>
      <c r="I98" s="316"/>
      <c r="J98" s="316"/>
      <c r="K98" s="316"/>
      <c r="L98" s="316"/>
      <c r="M98" s="316"/>
      <c r="N98" s="316"/>
      <c r="O98" s="317"/>
      <c r="Y98" s="259"/>
      <c r="Z98" s="259"/>
      <c r="AA98" s="259"/>
      <c r="AB98" s="259"/>
      <c r="AC98" s="259"/>
      <c r="AD98" s="259"/>
      <c r="AE98" s="259"/>
      <c r="AF98" s="259"/>
      <c r="AG98" s="259"/>
      <c r="AH98" s="259"/>
      <c r="AI98" s="259"/>
      <c r="AJ98" s="259"/>
      <c r="AK98" s="260"/>
      <c r="AL98" s="260"/>
      <c r="AM98" s="260"/>
      <c r="AN98" s="260"/>
    </row>
    <row r="99" spans="2:40" ht="28.5" customHeight="1" thickBot="1" x14ac:dyDescent="0.25">
      <c r="B99" s="1268" t="s">
        <v>175</v>
      </c>
      <c r="C99" s="1271" t="s">
        <v>231</v>
      </c>
      <c r="D99" s="1289" t="s">
        <v>199</v>
      </c>
      <c r="E99" s="1268" t="s">
        <v>232</v>
      </c>
      <c r="F99" s="1277" t="s">
        <v>233</v>
      </c>
      <c r="G99" s="1302" t="s">
        <v>234</v>
      </c>
      <c r="H99" s="1311" t="s">
        <v>235</v>
      </c>
      <c r="I99" s="1312"/>
      <c r="J99" s="1313"/>
      <c r="K99" s="1311" t="s">
        <v>188</v>
      </c>
      <c r="L99" s="1312"/>
      <c r="M99" s="1312"/>
      <c r="N99" s="1312"/>
      <c r="O99" s="1313"/>
      <c r="Y99" s="259"/>
      <c r="Z99" s="259"/>
      <c r="AA99" s="259"/>
      <c r="AB99" s="259"/>
      <c r="AC99" s="259"/>
      <c r="AD99" s="259"/>
      <c r="AE99" s="259"/>
      <c r="AF99" s="259"/>
      <c r="AG99" s="259"/>
      <c r="AH99" s="259"/>
      <c r="AI99" s="259"/>
      <c r="AJ99" s="259"/>
      <c r="AK99" s="260"/>
      <c r="AL99" s="260"/>
      <c r="AM99" s="260"/>
      <c r="AN99" s="260"/>
    </row>
    <row r="100" spans="2:40" ht="38.25" x14ac:dyDescent="0.2">
      <c r="B100" s="1270"/>
      <c r="C100" s="1275"/>
      <c r="D100" s="1290"/>
      <c r="E100" s="1270"/>
      <c r="F100" s="1279"/>
      <c r="G100" s="1304"/>
      <c r="H100" s="374" t="s">
        <v>236</v>
      </c>
      <c r="I100" s="337" t="s">
        <v>237</v>
      </c>
      <c r="J100" s="339" t="s">
        <v>238</v>
      </c>
      <c r="K100" s="335" t="s">
        <v>344</v>
      </c>
      <c r="L100" s="336" t="s">
        <v>345</v>
      </c>
      <c r="M100" s="335" t="s">
        <v>346</v>
      </c>
      <c r="N100" s="336" t="s">
        <v>347</v>
      </c>
      <c r="O100" s="341" t="s">
        <v>195</v>
      </c>
      <c r="Y100" s="259"/>
      <c r="Z100" s="259"/>
      <c r="AA100" s="259"/>
      <c r="AB100" s="259"/>
      <c r="AC100" s="259"/>
      <c r="AD100" s="259"/>
      <c r="AE100" s="259"/>
      <c r="AF100" s="259"/>
      <c r="AG100" s="259"/>
      <c r="AH100" s="259"/>
      <c r="AI100" s="259"/>
      <c r="AJ100" s="259"/>
      <c r="AK100" s="260"/>
      <c r="AL100" s="260"/>
      <c r="AM100" s="260"/>
      <c r="AN100" s="260"/>
    </row>
    <row r="101" spans="2:40" ht="15.75" thickBot="1" x14ac:dyDescent="0.25">
      <c r="B101" s="362"/>
      <c r="C101" s="442"/>
      <c r="D101" s="443"/>
      <c r="E101" s="342" t="s">
        <v>64</v>
      </c>
      <c r="F101" s="343" t="s">
        <v>182</v>
      </c>
      <c r="G101" s="418" t="s">
        <v>158</v>
      </c>
      <c r="H101" s="419" t="s">
        <v>64</v>
      </c>
      <c r="I101" s="549" t="s">
        <v>183</v>
      </c>
      <c r="J101" s="375" t="s">
        <v>158</v>
      </c>
      <c r="K101" s="547" t="s">
        <v>64</v>
      </c>
      <c r="L101" s="548" t="s">
        <v>64</v>
      </c>
      <c r="M101" s="420" t="s">
        <v>158</v>
      </c>
      <c r="N101" s="324" t="s">
        <v>158</v>
      </c>
      <c r="O101" s="345" t="s">
        <v>158</v>
      </c>
      <c r="Y101" s="259"/>
      <c r="Z101" s="259"/>
      <c r="AA101" s="259"/>
      <c r="AB101" s="259"/>
      <c r="AC101" s="259"/>
      <c r="AD101" s="259"/>
      <c r="AE101" s="259"/>
      <c r="AF101" s="259"/>
      <c r="AG101" s="259"/>
      <c r="AH101" s="259"/>
      <c r="AI101" s="259"/>
      <c r="AJ101" s="259"/>
      <c r="AK101" s="260"/>
      <c r="AL101" s="260"/>
      <c r="AM101" s="260"/>
      <c r="AN101" s="260"/>
    </row>
    <row r="102" spans="2:40" ht="42" customHeight="1" x14ac:dyDescent="0.2">
      <c r="B102" s="421" t="s">
        <v>187</v>
      </c>
      <c r="C102" s="444" t="s">
        <v>120</v>
      </c>
      <c r="D102" s="445">
        <v>1</v>
      </c>
      <c r="E102" s="578">
        <f>D102*E93</f>
        <v>16250</v>
      </c>
      <c r="F102" s="1340">
        <f>F93</f>
        <v>0.16700000000000001</v>
      </c>
      <c r="G102" s="369">
        <f>E102*$F$102</f>
        <v>2713.75</v>
      </c>
      <c r="H102" s="370">
        <f ca="1">D102*H93</f>
        <v>0</v>
      </c>
      <c r="I102" s="1340">
        <f ca="1">I93</f>
        <v>0.16700000000000001</v>
      </c>
      <c r="J102" s="354">
        <f ca="1">H102*$I$102</f>
        <v>0</v>
      </c>
      <c r="K102" s="425">
        <v>0</v>
      </c>
      <c r="L102" s="426">
        <f ca="1">E102-H102</f>
        <v>16250</v>
      </c>
      <c r="M102" s="427">
        <f ca="1">H102*(F102-I102)</f>
        <v>0</v>
      </c>
      <c r="N102" s="428">
        <f ca="1">L102*$F$102</f>
        <v>2713.75</v>
      </c>
      <c r="O102" s="349">
        <f ca="1">SUM(M102:N102)</f>
        <v>2713.75</v>
      </c>
      <c r="Y102" s="259"/>
      <c r="Z102" s="259"/>
      <c r="AA102" s="259"/>
      <c r="AB102" s="259"/>
      <c r="AC102" s="259"/>
      <c r="AD102" s="259"/>
      <c r="AE102" s="259"/>
      <c r="AF102" s="259"/>
      <c r="AG102" s="259"/>
      <c r="AH102" s="259"/>
      <c r="AI102" s="259"/>
      <c r="AJ102" s="259"/>
      <c r="AK102" s="260"/>
      <c r="AL102" s="260"/>
      <c r="AM102" s="260"/>
      <c r="AN102" s="260"/>
    </row>
    <row r="103" spans="2:40" ht="42" customHeight="1" x14ac:dyDescent="0.2">
      <c r="B103" s="577" t="s">
        <v>187</v>
      </c>
      <c r="C103" s="572" t="s">
        <v>300</v>
      </c>
      <c r="D103" s="756">
        <v>1</v>
      </c>
      <c r="E103" s="566">
        <f>D103*E94</f>
        <v>0</v>
      </c>
      <c r="F103" s="1341"/>
      <c r="G103" s="567">
        <f>E103*$F$102</f>
        <v>0</v>
      </c>
      <c r="H103" s="370">
        <f ca="1">D103*H94</f>
        <v>0</v>
      </c>
      <c r="I103" s="1341"/>
      <c r="J103" s="354">
        <f ca="1">H103*$I$102</f>
        <v>0</v>
      </c>
      <c r="K103" s="425">
        <v>0</v>
      </c>
      <c r="L103" s="575">
        <f ca="1">E103-H103</f>
        <v>0</v>
      </c>
      <c r="M103" s="434">
        <f ca="1">H103*(F103-I103)</f>
        <v>0</v>
      </c>
      <c r="N103" s="576">
        <f ca="1">L103*$F$102</f>
        <v>0</v>
      </c>
      <c r="O103" s="581">
        <f t="shared" ref="O103:O104" ca="1" si="17">SUM(M103:N103)</f>
        <v>0</v>
      </c>
      <c r="Y103" s="259"/>
      <c r="Z103" s="259"/>
      <c r="AA103" s="259"/>
      <c r="AB103" s="259"/>
      <c r="AC103" s="259"/>
      <c r="AD103" s="259"/>
      <c r="AE103" s="259"/>
      <c r="AF103" s="259"/>
      <c r="AG103" s="259"/>
      <c r="AH103" s="259"/>
      <c r="AI103" s="259"/>
      <c r="AJ103" s="259"/>
      <c r="AK103" s="260"/>
      <c r="AL103" s="260"/>
      <c r="AM103" s="260"/>
      <c r="AN103" s="260"/>
    </row>
    <row r="104" spans="2:40" ht="42" customHeight="1" thickBot="1" x14ac:dyDescent="0.25">
      <c r="B104" s="429" t="s">
        <v>418</v>
      </c>
      <c r="C104" s="446" t="s">
        <v>240</v>
      </c>
      <c r="D104" s="447">
        <v>1</v>
      </c>
      <c r="E104" s="579">
        <f>D104*E95</f>
        <v>18203.637500000001</v>
      </c>
      <c r="F104" s="1346"/>
      <c r="G104" s="371">
        <f>E104*F102</f>
        <v>3040.0074625000002</v>
      </c>
      <c r="H104" s="370">
        <f ca="1">D104*H95</f>
        <v>0</v>
      </c>
      <c r="I104" s="1342"/>
      <c r="J104" s="380">
        <f ca="1">H104*$I$102</f>
        <v>0</v>
      </c>
      <c r="K104" s="425">
        <f ca="1">E104-H104</f>
        <v>18203.637500000001</v>
      </c>
      <c r="L104" s="433"/>
      <c r="M104" s="434">
        <f ca="1">G104-J104</f>
        <v>3040.0074625000002</v>
      </c>
      <c r="N104" s="435"/>
      <c r="O104" s="457">
        <f t="shared" ca="1" si="17"/>
        <v>3040.0074625000002</v>
      </c>
      <c r="Y104" s="259"/>
      <c r="Z104" s="259"/>
      <c r="AA104" s="259"/>
      <c r="AB104" s="259"/>
      <c r="AC104" s="259"/>
      <c r="AD104" s="259"/>
      <c r="AE104" s="259"/>
      <c r="AF104" s="259"/>
      <c r="AG104" s="259"/>
      <c r="AH104" s="259"/>
      <c r="AI104" s="259"/>
      <c r="AJ104" s="259"/>
      <c r="AK104" s="260"/>
      <c r="AL104" s="260"/>
      <c r="AM104" s="260"/>
      <c r="AN104" s="260"/>
    </row>
    <row r="105" spans="2:40" ht="27" customHeight="1" thickBot="1" x14ac:dyDescent="0.25">
      <c r="B105" s="1203" t="s">
        <v>163</v>
      </c>
      <c r="C105" s="1204"/>
      <c r="D105" s="1205"/>
      <c r="E105" s="330">
        <f>SUM(E102:E104)</f>
        <v>34453.637499999997</v>
      </c>
      <c r="F105" s="331"/>
      <c r="G105" s="334">
        <f>SUM(G102:G104)</f>
        <v>5753.7574624999997</v>
      </c>
      <c r="H105" s="436">
        <f ca="1">SUM(H102:H104)</f>
        <v>0</v>
      </c>
      <c r="I105" s="437"/>
      <c r="J105" s="438">
        <f t="shared" ref="J105:L105" ca="1" si="18">SUM(J102:J104)</f>
        <v>0</v>
      </c>
      <c r="K105" s="439">
        <f t="shared" ca="1" si="18"/>
        <v>18203.637500000001</v>
      </c>
      <c r="L105" s="440">
        <f t="shared" ca="1" si="18"/>
        <v>16250</v>
      </c>
      <c r="M105" s="441">
        <f ca="1">SUM(M102:M104)</f>
        <v>3040.0074625000002</v>
      </c>
      <c r="N105" s="441">
        <f ca="1">SUM(N102:N104)</f>
        <v>2713.75</v>
      </c>
      <c r="O105" s="359">
        <f ca="1">SUM(O102:O104)</f>
        <v>5753.7574624999997</v>
      </c>
      <c r="Y105" s="259"/>
      <c r="Z105" s="259"/>
      <c r="AA105" s="259"/>
      <c r="AB105" s="259"/>
      <c r="AC105" s="259"/>
      <c r="AD105" s="259"/>
      <c r="AE105" s="259"/>
      <c r="AF105" s="259"/>
      <c r="AG105" s="259"/>
      <c r="AH105" s="259"/>
      <c r="AI105" s="259"/>
      <c r="AJ105" s="259"/>
      <c r="AK105" s="260"/>
      <c r="AL105" s="260"/>
      <c r="AM105" s="260"/>
      <c r="AN105" s="260"/>
    </row>
    <row r="106" spans="2:40" ht="15.75" thickBot="1" x14ac:dyDescent="0.25">
      <c r="Y106" s="448"/>
      <c r="Z106" s="259"/>
      <c r="AA106" s="259"/>
      <c r="AB106" s="259"/>
      <c r="AC106" s="259"/>
      <c r="AD106" s="259"/>
      <c r="AE106" s="259"/>
      <c r="AF106" s="259"/>
      <c r="AG106" s="259"/>
      <c r="AH106" s="259"/>
      <c r="AI106" s="259"/>
      <c r="AJ106" s="259"/>
      <c r="AK106" s="260"/>
      <c r="AL106" s="260"/>
      <c r="AM106" s="260"/>
      <c r="AN106" s="260"/>
    </row>
    <row r="107" spans="2:40" ht="18.75" thickBot="1" x14ac:dyDescent="0.25">
      <c r="B107" s="361" t="s">
        <v>202</v>
      </c>
      <c r="C107" s="316"/>
      <c r="D107" s="316"/>
      <c r="E107" s="316"/>
      <c r="F107" s="316"/>
      <c r="G107" s="316"/>
      <c r="H107" s="316"/>
      <c r="I107" s="316"/>
      <c r="J107" s="316"/>
      <c r="K107" s="316"/>
      <c r="L107" s="316"/>
      <c r="M107" s="316"/>
      <c r="N107" s="316"/>
      <c r="O107" s="316"/>
      <c r="P107" s="316"/>
      <c r="Q107" s="316"/>
      <c r="R107" s="316"/>
      <c r="S107" s="317"/>
      <c r="Y107" s="448"/>
      <c r="Z107" s="449"/>
      <c r="AA107" s="449"/>
      <c r="AB107" s="449"/>
      <c r="AC107" s="449"/>
      <c r="AD107" s="449"/>
      <c r="AE107" s="449"/>
      <c r="AF107" s="449"/>
      <c r="AG107" s="449"/>
      <c r="AH107" s="449"/>
      <c r="AI107" s="449"/>
      <c r="AJ107" s="259"/>
      <c r="AK107" s="260"/>
      <c r="AL107" s="260"/>
      <c r="AM107" s="260"/>
      <c r="AN107" s="260"/>
    </row>
    <row r="108" spans="2:40" ht="15" customHeight="1" thickBot="1" x14ac:dyDescent="0.25">
      <c r="B108" s="1268" t="s">
        <v>175</v>
      </c>
      <c r="C108" s="1271" t="s">
        <v>231</v>
      </c>
      <c r="D108" s="1289" t="s">
        <v>188</v>
      </c>
      <c r="E108" s="1311" t="s">
        <v>242</v>
      </c>
      <c r="F108" s="1312"/>
      <c r="G108" s="1312"/>
      <c r="H108" s="1312"/>
      <c r="I108" s="1311" t="s">
        <v>243</v>
      </c>
      <c r="J108" s="1312"/>
      <c r="K108" s="1312"/>
      <c r="L108" s="1311" t="s">
        <v>223</v>
      </c>
      <c r="M108" s="1313"/>
      <c r="N108" s="1326" t="s">
        <v>224</v>
      </c>
      <c r="O108" s="1327"/>
      <c r="P108" s="1327"/>
      <c r="Q108" s="1327"/>
      <c r="R108" s="1327"/>
      <c r="S108" s="1328"/>
      <c r="Y108" s="259"/>
      <c r="Z108" s="450"/>
      <c r="AA108" s="450"/>
      <c r="AB108" s="450"/>
      <c r="AC108" s="450"/>
      <c r="AD108" s="450"/>
      <c r="AE108" s="450"/>
      <c r="AF108" s="450"/>
      <c r="AG108" s="450"/>
      <c r="AH108" s="450"/>
      <c r="AI108" s="450"/>
      <c r="AJ108" s="259"/>
      <c r="AK108" s="260"/>
      <c r="AL108" s="260"/>
      <c r="AM108" s="260"/>
      <c r="AN108" s="260"/>
    </row>
    <row r="109" spans="2:40" ht="69" customHeight="1" x14ac:dyDescent="0.2">
      <c r="B109" s="1270"/>
      <c r="C109" s="1275"/>
      <c r="D109" s="1290"/>
      <c r="E109" s="374" t="s">
        <v>245</v>
      </c>
      <c r="F109" s="374" t="s">
        <v>246</v>
      </c>
      <c r="G109" s="374" t="s">
        <v>247</v>
      </c>
      <c r="H109" s="339" t="s">
        <v>237</v>
      </c>
      <c r="I109" s="335" t="s">
        <v>248</v>
      </c>
      <c r="J109" s="336" t="s">
        <v>249</v>
      </c>
      <c r="K109" s="340" t="s">
        <v>250</v>
      </c>
      <c r="L109" s="335" t="s">
        <v>251</v>
      </c>
      <c r="M109" s="339" t="s">
        <v>252</v>
      </c>
      <c r="N109" s="335" t="s">
        <v>344</v>
      </c>
      <c r="O109" s="336" t="s">
        <v>345</v>
      </c>
      <c r="P109" s="335" t="s">
        <v>346</v>
      </c>
      <c r="Q109" s="336" t="s">
        <v>347</v>
      </c>
      <c r="R109" s="408" t="s">
        <v>244</v>
      </c>
      <c r="S109" s="408" t="s">
        <v>229</v>
      </c>
      <c r="Y109" s="347"/>
      <c r="Z109" s="259"/>
      <c r="AA109" s="259"/>
      <c r="AB109" s="259"/>
      <c r="AC109" s="259"/>
      <c r="AD109" s="259"/>
      <c r="AE109" s="259"/>
      <c r="AF109" s="259"/>
      <c r="AG109" s="259"/>
      <c r="AH109" s="259"/>
      <c r="AI109" s="259"/>
      <c r="AJ109" s="259"/>
      <c r="AK109" s="260"/>
      <c r="AL109" s="260"/>
      <c r="AM109" s="260"/>
      <c r="AN109" s="260"/>
    </row>
    <row r="110" spans="2:40" ht="15.75" thickBot="1" x14ac:dyDescent="0.25">
      <c r="B110" s="362"/>
      <c r="C110" s="442"/>
      <c r="D110" s="417"/>
      <c r="E110" s="419" t="s">
        <v>64</v>
      </c>
      <c r="F110" s="419" t="s">
        <v>64</v>
      </c>
      <c r="G110" s="419" t="s">
        <v>64</v>
      </c>
      <c r="H110" s="551" t="s">
        <v>183</v>
      </c>
      <c r="I110" s="547"/>
      <c r="J110" s="324" t="s">
        <v>64</v>
      </c>
      <c r="K110" s="344" t="s">
        <v>158</v>
      </c>
      <c r="L110" s="419" t="s">
        <v>64</v>
      </c>
      <c r="M110" s="419" t="s">
        <v>158</v>
      </c>
      <c r="N110" s="547" t="s">
        <v>64</v>
      </c>
      <c r="O110" s="548" t="s">
        <v>64</v>
      </c>
      <c r="P110" s="420" t="s">
        <v>158</v>
      </c>
      <c r="Q110" s="324" t="s">
        <v>158</v>
      </c>
      <c r="R110" s="451" t="s">
        <v>158</v>
      </c>
      <c r="S110" s="398" t="s">
        <v>158</v>
      </c>
      <c r="Y110" s="352"/>
      <c r="Z110" s="259"/>
      <c r="AA110" s="259"/>
      <c r="AB110" s="259"/>
      <c r="AC110" s="259"/>
      <c r="AD110" s="259"/>
      <c r="AE110" s="259"/>
      <c r="AF110" s="259"/>
      <c r="AG110" s="259"/>
      <c r="AH110" s="259"/>
      <c r="AI110" s="259"/>
      <c r="AJ110" s="259"/>
      <c r="AK110" s="260"/>
      <c r="AL110" s="260"/>
      <c r="AM110" s="260"/>
      <c r="AN110" s="260"/>
    </row>
    <row r="111" spans="2:40" ht="33" customHeight="1" x14ac:dyDescent="0.2">
      <c r="B111" s="421" t="s">
        <v>187</v>
      </c>
      <c r="C111" s="444" t="s">
        <v>120</v>
      </c>
      <c r="D111" s="583" t="str">
        <f>D93</f>
        <v>DA</v>
      </c>
      <c r="E111" s="1331">
        <v>0</v>
      </c>
      <c r="F111" s="1334">
        <v>0</v>
      </c>
      <c r="G111" s="1337">
        <f>E111-F111</f>
        <v>0</v>
      </c>
      <c r="H111" s="1340">
        <f ca="1">I102</f>
        <v>0.16700000000000001</v>
      </c>
      <c r="I111" s="1343">
        <v>1</v>
      </c>
      <c r="J111" s="1337">
        <f>G111*I111</f>
        <v>0</v>
      </c>
      <c r="K111" s="1317">
        <f ca="1">J111*H111</f>
        <v>0</v>
      </c>
      <c r="L111" s="453">
        <f ca="1">H102</f>
        <v>0</v>
      </c>
      <c r="M111" s="354">
        <f ca="1">L111*H111</f>
        <v>0</v>
      </c>
      <c r="N111" s="425">
        <v>0</v>
      </c>
      <c r="O111" s="453">
        <f ca="1">IF(D111="DA",L102,0)</f>
        <v>16250</v>
      </c>
      <c r="P111" s="427">
        <f ca="1">IF(D111="DA",L111*(F102-H111),0)</f>
        <v>0</v>
      </c>
      <c r="Q111" s="428">
        <f ca="1">G102-L111*H111</f>
        <v>2713.75</v>
      </c>
      <c r="R111" s="349">
        <f ca="1">SUM(P111:Q111)</f>
        <v>2713.75</v>
      </c>
      <c r="S111" s="584">
        <f ca="1">R111-O102</f>
        <v>0</v>
      </c>
      <c r="Y111" s="259"/>
      <c r="Z111" s="454"/>
      <c r="AA111" s="454"/>
      <c r="AB111" s="454"/>
      <c r="AC111" s="454"/>
      <c r="AD111" s="454"/>
      <c r="AE111" s="454"/>
      <c r="AF111" s="454"/>
      <c r="AG111" s="454"/>
      <c r="AH111" s="454"/>
      <c r="AI111" s="454"/>
      <c r="AJ111" s="259"/>
      <c r="AK111" s="260"/>
      <c r="AL111" s="260"/>
      <c r="AM111" s="260"/>
      <c r="AN111" s="260"/>
    </row>
    <row r="112" spans="2:40" ht="33" customHeight="1" x14ac:dyDescent="0.2">
      <c r="B112" s="577" t="s">
        <v>187</v>
      </c>
      <c r="C112" s="572" t="s">
        <v>300</v>
      </c>
      <c r="D112" s="582" t="s">
        <v>239</v>
      </c>
      <c r="E112" s="1332"/>
      <c r="F112" s="1335"/>
      <c r="G112" s="1338"/>
      <c r="H112" s="1341"/>
      <c r="I112" s="1344"/>
      <c r="J112" s="1338"/>
      <c r="K112" s="1318"/>
      <c r="L112" s="455">
        <f ca="1">H103</f>
        <v>0</v>
      </c>
      <c r="M112" s="354">
        <f ca="1">L112*H111</f>
        <v>0</v>
      </c>
      <c r="N112" s="425">
        <v>0</v>
      </c>
      <c r="O112" s="455">
        <f ca="1">IF(D112="DA",L103,0)</f>
        <v>0</v>
      </c>
      <c r="P112" s="434">
        <f ca="1">IF(D112="DA",L112*(F103-H112),0)</f>
        <v>0</v>
      </c>
      <c r="Q112" s="576">
        <f ca="1">G103-L112*H111</f>
        <v>0</v>
      </c>
      <c r="R112" s="457">
        <f ca="1">SUM(P112:Q112)</f>
        <v>0</v>
      </c>
      <c r="S112" s="585">
        <f ca="1">R112-O103</f>
        <v>0</v>
      </c>
      <c r="Y112" s="259"/>
      <c r="Z112" s="454"/>
      <c r="AA112" s="454"/>
      <c r="AB112" s="454"/>
      <c r="AC112" s="454"/>
      <c r="AD112" s="454"/>
      <c r="AE112" s="454"/>
      <c r="AF112" s="454"/>
      <c r="AG112" s="454"/>
      <c r="AH112" s="454"/>
      <c r="AI112" s="454"/>
      <c r="AJ112" s="259"/>
      <c r="AK112" s="260"/>
      <c r="AL112" s="260"/>
      <c r="AM112" s="260"/>
      <c r="AN112" s="260"/>
    </row>
    <row r="113" spans="2:40" ht="33" customHeight="1" thickBot="1" x14ac:dyDescent="0.25">
      <c r="B113" s="429" t="s">
        <v>418</v>
      </c>
      <c r="C113" s="446" t="s">
        <v>240</v>
      </c>
      <c r="D113" s="550" t="str">
        <f>D95</f>
        <v>NE</v>
      </c>
      <c r="E113" s="1333"/>
      <c r="F113" s="1336"/>
      <c r="G113" s="1339"/>
      <c r="H113" s="1342"/>
      <c r="I113" s="1345"/>
      <c r="J113" s="1339"/>
      <c r="K113" s="1319"/>
      <c r="L113" s="455">
        <f ca="1">H104</f>
        <v>0</v>
      </c>
      <c r="M113" s="354">
        <f ca="1">L113*H111</f>
        <v>0</v>
      </c>
      <c r="N113" s="425">
        <f>IF(D113="DA",E104-L113,0)</f>
        <v>0</v>
      </c>
      <c r="O113" s="456"/>
      <c r="P113" s="434">
        <f>IF(D113="DA",G104-M113,0)</f>
        <v>0</v>
      </c>
      <c r="Q113" s="435"/>
      <c r="R113" s="457">
        <f>SUM(P113:Q113)</f>
        <v>0</v>
      </c>
      <c r="S113" s="586">
        <f ca="1">R113-O104</f>
        <v>-3040.0074625000002</v>
      </c>
      <c r="Y113" s="259"/>
      <c r="Z113" s="454"/>
      <c r="AA113" s="454"/>
      <c r="AB113" s="454"/>
      <c r="AC113" s="454"/>
      <c r="AD113" s="454"/>
      <c r="AE113" s="454"/>
      <c r="AF113" s="454"/>
      <c r="AG113" s="454"/>
      <c r="AH113" s="454"/>
      <c r="AI113" s="454"/>
      <c r="AJ113" s="259"/>
      <c r="AK113" s="260"/>
      <c r="AL113" s="260"/>
      <c r="AM113" s="260"/>
      <c r="AN113" s="260"/>
    </row>
    <row r="114" spans="2:40" ht="33" customHeight="1" thickBot="1" x14ac:dyDescent="0.25">
      <c r="B114" s="1203" t="s">
        <v>163</v>
      </c>
      <c r="C114" s="1204"/>
      <c r="D114" s="1205"/>
      <c r="E114" s="458"/>
      <c r="F114" s="459"/>
      <c r="G114" s="459"/>
      <c r="H114" s="459"/>
      <c r="I114" s="459"/>
      <c r="J114" s="459"/>
      <c r="K114" s="459"/>
      <c r="L114" s="298">
        <f ca="1">SUM(L111:L113)</f>
        <v>0</v>
      </c>
      <c r="M114" s="441">
        <f t="shared" ref="M114:O114" ca="1" si="19">SUM(M111:M113)</f>
        <v>0</v>
      </c>
      <c r="N114" s="439">
        <f t="shared" si="19"/>
        <v>0</v>
      </c>
      <c r="O114" s="298">
        <f t="shared" ca="1" si="19"/>
        <v>16250</v>
      </c>
      <c r="P114" s="441">
        <f ca="1">SUM(P111:P113)</f>
        <v>0</v>
      </c>
      <c r="Q114" s="441">
        <f ca="1">SUM(Q111:Q113)</f>
        <v>2713.75</v>
      </c>
      <c r="R114" s="359">
        <f ca="1">SUM(R111:R113)</f>
        <v>2713.75</v>
      </c>
      <c r="S114" s="587">
        <f ca="1">SUM(S111:S113)</f>
        <v>-3040.0074625000002</v>
      </c>
      <c r="Y114" s="352"/>
      <c r="Z114" s="460"/>
      <c r="AA114" s="460"/>
      <c r="AB114" s="460"/>
      <c r="AC114" s="460"/>
      <c r="AD114" s="460"/>
      <c r="AE114" s="460"/>
      <c r="AF114" s="460"/>
      <c r="AG114" s="460"/>
      <c r="AH114" s="460"/>
      <c r="AI114" s="460"/>
      <c r="AJ114" s="259"/>
      <c r="AK114" s="260"/>
      <c r="AL114" s="260"/>
      <c r="AM114" s="260"/>
      <c r="AN114" s="260"/>
    </row>
    <row r="115" spans="2:40" ht="14.25" customHeight="1" x14ac:dyDescent="0.2">
      <c r="Y115" s="259"/>
      <c r="Z115" s="460"/>
      <c r="AA115" s="460"/>
      <c r="AB115" s="460"/>
      <c r="AC115" s="460"/>
      <c r="AD115" s="460"/>
      <c r="AE115" s="460"/>
      <c r="AF115" s="460"/>
      <c r="AG115" s="460"/>
      <c r="AH115" s="460"/>
      <c r="AI115" s="460"/>
      <c r="AJ115" s="259"/>
      <c r="AK115" s="260"/>
      <c r="AL115" s="260"/>
      <c r="AM115" s="260"/>
      <c r="AN115" s="260"/>
    </row>
    <row r="116" spans="2:40" ht="18.75" thickBot="1" x14ac:dyDescent="0.25">
      <c r="B116" s="256"/>
      <c r="C116" s="247"/>
      <c r="D116" s="247"/>
      <c r="E116" s="247"/>
      <c r="F116" s="247"/>
      <c r="G116" s="247"/>
      <c r="H116" s="247"/>
      <c r="I116" s="245"/>
      <c r="J116" s="246"/>
      <c r="K116" s="246"/>
      <c r="L116" s="246"/>
      <c r="M116" s="246"/>
      <c r="N116" s="246"/>
      <c r="O116" s="247"/>
      <c r="P116" s="247"/>
      <c r="Q116" s="247"/>
      <c r="R116" s="247"/>
      <c r="S116" s="247"/>
      <c r="T116" s="255"/>
      <c r="U116" s="255"/>
      <c r="V116" s="255"/>
      <c r="Y116" s="352"/>
      <c r="Z116" s="259"/>
      <c r="AA116" s="259"/>
      <c r="AB116" s="259"/>
      <c r="AC116" s="259"/>
      <c r="AD116" s="259"/>
      <c r="AE116" s="259"/>
      <c r="AF116" s="259"/>
      <c r="AG116" s="259"/>
      <c r="AH116" s="259"/>
      <c r="AI116" s="259"/>
      <c r="AJ116" s="259"/>
      <c r="AK116" s="260"/>
      <c r="AL116" s="260"/>
      <c r="AM116" s="260"/>
      <c r="AN116" s="260"/>
    </row>
    <row r="117" spans="2:40" ht="30.75" thickBot="1" x14ac:dyDescent="0.25">
      <c r="B117" s="461" t="s">
        <v>253</v>
      </c>
      <c r="C117" s="462"/>
      <c r="D117" s="462"/>
      <c r="E117" s="462"/>
      <c r="F117" s="462"/>
      <c r="G117" s="462"/>
      <c r="H117" s="462"/>
      <c r="I117" s="462"/>
      <c r="J117" s="462"/>
      <c r="K117" s="462"/>
      <c r="L117" s="462"/>
      <c r="M117" s="462"/>
      <c r="N117" s="462"/>
      <c r="O117" s="462"/>
      <c r="P117" s="462"/>
      <c r="Q117" s="462"/>
      <c r="R117" s="462"/>
      <c r="S117" s="462"/>
      <c r="T117" s="462"/>
      <c r="U117" s="462"/>
      <c r="V117" s="463"/>
      <c r="Y117" s="259"/>
      <c r="Z117" s="460"/>
      <c r="AA117" s="460"/>
      <c r="AB117" s="460"/>
      <c r="AC117" s="460"/>
      <c r="AD117" s="460"/>
      <c r="AE117" s="460"/>
      <c r="AF117" s="460"/>
      <c r="AG117" s="460"/>
      <c r="AH117" s="460"/>
      <c r="AI117" s="460"/>
      <c r="AJ117" s="464"/>
      <c r="AK117" s="260"/>
      <c r="AL117" s="260"/>
      <c r="AM117" s="260"/>
      <c r="AN117" s="260"/>
    </row>
    <row r="118" spans="2:40" ht="15" x14ac:dyDescent="0.2">
      <c r="B118" s="465"/>
      <c r="C118" s="465"/>
      <c r="D118" s="465"/>
      <c r="E118" s="465"/>
      <c r="F118" s="465"/>
      <c r="G118" s="465"/>
      <c r="H118" s="465"/>
      <c r="I118" s="465"/>
      <c r="J118" s="466"/>
      <c r="K118" s="466"/>
      <c r="L118" s="466"/>
      <c r="M118" s="466"/>
      <c r="N118" s="466"/>
      <c r="O118" s="466"/>
      <c r="P118" s="466"/>
      <c r="Q118" s="466"/>
      <c r="R118" s="466"/>
      <c r="S118" s="466"/>
      <c r="T118" s="466"/>
      <c r="U118" s="466"/>
      <c r="V118" s="466"/>
      <c r="Y118" s="259"/>
      <c r="Z118" s="259"/>
      <c r="AA118" s="259"/>
      <c r="AB118" s="259"/>
      <c r="AC118" s="259"/>
      <c r="AD118" s="259"/>
      <c r="AE118" s="259"/>
      <c r="AF118" s="259"/>
      <c r="AG118" s="259"/>
      <c r="AH118" s="259"/>
      <c r="AI118" s="259"/>
      <c r="AJ118" s="259"/>
      <c r="AK118" s="260"/>
      <c r="AL118" s="260"/>
      <c r="AM118" s="260"/>
      <c r="AN118" s="260"/>
    </row>
    <row r="119" spans="2:40" ht="15.75" thickBot="1" x14ac:dyDescent="0.25">
      <c r="B119" s="465"/>
      <c r="C119" s="465"/>
      <c r="D119" s="465"/>
      <c r="E119" s="465"/>
      <c r="F119" s="465"/>
      <c r="G119" s="465"/>
      <c r="H119" s="465"/>
      <c r="I119" s="465"/>
      <c r="J119" s="466"/>
      <c r="K119" s="466"/>
      <c r="L119" s="466"/>
      <c r="M119" s="466"/>
      <c r="N119" s="466"/>
      <c r="O119" s="466"/>
      <c r="P119" s="466"/>
      <c r="Q119" s="466"/>
      <c r="R119" s="466"/>
      <c r="S119" s="466"/>
      <c r="T119" s="466"/>
      <c r="U119" s="466"/>
      <c r="V119" s="466"/>
      <c r="Y119" s="259"/>
      <c r="Z119" s="259"/>
      <c r="AA119" s="259"/>
      <c r="AB119" s="259"/>
      <c r="AC119" s="259"/>
      <c r="AD119" s="259"/>
      <c r="AE119" s="259"/>
      <c r="AF119" s="259"/>
      <c r="AG119" s="259"/>
      <c r="AH119" s="259"/>
      <c r="AI119" s="259"/>
      <c r="AJ119" s="259"/>
      <c r="AK119" s="260"/>
      <c r="AL119" s="260"/>
      <c r="AM119" s="260"/>
      <c r="AN119" s="260"/>
    </row>
    <row r="120" spans="2:40" ht="35.25" customHeight="1" thickBot="1" x14ac:dyDescent="0.25">
      <c r="B120" s="1320" t="s">
        <v>174</v>
      </c>
      <c r="C120" s="1321"/>
      <c r="D120" s="1321"/>
      <c r="E120" s="1322"/>
      <c r="F120" s="246"/>
      <c r="G120" s="1323" t="s">
        <v>254</v>
      </c>
      <c r="H120" s="1321" t="s">
        <v>197</v>
      </c>
      <c r="I120" s="1321"/>
      <c r="J120" s="1321"/>
      <c r="K120" s="1321"/>
      <c r="L120" s="1322"/>
      <c r="M120" s="246"/>
      <c r="N120" s="1323" t="s">
        <v>255</v>
      </c>
      <c r="O120" s="1329" t="s">
        <v>202</v>
      </c>
      <c r="P120" s="1329"/>
      <c r="Q120" s="1329"/>
      <c r="R120" s="1330"/>
      <c r="S120" s="246"/>
      <c r="T120" s="246"/>
      <c r="U120" s="246"/>
      <c r="V120" s="246"/>
      <c r="Z120" s="259"/>
      <c r="AA120" s="259"/>
      <c r="AB120" s="259"/>
      <c r="AC120" s="259"/>
      <c r="AD120" s="259"/>
      <c r="AE120" s="259"/>
      <c r="AF120" s="259"/>
      <c r="AG120" s="259"/>
      <c r="AH120" s="259"/>
      <c r="AI120" s="259"/>
      <c r="AJ120" s="259"/>
      <c r="AK120" s="260"/>
      <c r="AL120" s="260"/>
      <c r="AM120" s="260"/>
      <c r="AN120" s="260"/>
    </row>
    <row r="121" spans="2:40" ht="66" customHeight="1" x14ac:dyDescent="0.2">
      <c r="B121" s="1268" t="s">
        <v>256</v>
      </c>
      <c r="C121" s="467" t="s">
        <v>257</v>
      </c>
      <c r="D121" s="408" t="s">
        <v>258</v>
      </c>
      <c r="E121" s="467" t="s">
        <v>259</v>
      </c>
      <c r="F121" s="246"/>
      <c r="G121" s="1324"/>
      <c r="H121" s="1268" t="s">
        <v>256</v>
      </c>
      <c r="I121" s="1277" t="s">
        <v>199</v>
      </c>
      <c r="J121" s="467" t="s">
        <v>257</v>
      </c>
      <c r="K121" s="408" t="s">
        <v>258</v>
      </c>
      <c r="L121" s="467" t="s">
        <v>259</v>
      </c>
      <c r="M121" s="246"/>
      <c r="N121" s="1324"/>
      <c r="O121" s="1268" t="s">
        <v>256</v>
      </c>
      <c r="P121" s="467" t="s">
        <v>257</v>
      </c>
      <c r="Q121" s="408" t="s">
        <v>258</v>
      </c>
      <c r="R121" s="467" t="s">
        <v>260</v>
      </c>
      <c r="S121" s="246"/>
      <c r="T121" s="246"/>
      <c r="U121" s="246"/>
      <c r="V121" s="246"/>
    </row>
    <row r="122" spans="2:40" ht="21.75" customHeight="1" thickBot="1" x14ac:dyDescent="0.25">
      <c r="B122" s="1309"/>
      <c r="C122" s="418" t="s">
        <v>158</v>
      </c>
      <c r="D122" s="375" t="s">
        <v>158</v>
      </c>
      <c r="E122" s="468" t="s">
        <v>158</v>
      </c>
      <c r="F122" s="415"/>
      <c r="G122" s="1324"/>
      <c r="H122" s="1309"/>
      <c r="I122" s="1349"/>
      <c r="J122" s="418" t="s">
        <v>158</v>
      </c>
      <c r="K122" s="375" t="s">
        <v>158</v>
      </c>
      <c r="L122" s="468" t="s">
        <v>158</v>
      </c>
      <c r="M122" s="415"/>
      <c r="N122" s="1324"/>
      <c r="O122" s="1309"/>
      <c r="P122" s="418" t="s">
        <v>158</v>
      </c>
      <c r="Q122" s="375" t="s">
        <v>158</v>
      </c>
      <c r="R122" s="468" t="s">
        <v>158</v>
      </c>
      <c r="S122" s="415"/>
      <c r="T122" s="415"/>
      <c r="U122" s="415"/>
      <c r="V122" s="415"/>
    </row>
    <row r="123" spans="2:40" ht="33" customHeight="1" x14ac:dyDescent="0.2">
      <c r="B123" s="469" t="s">
        <v>71</v>
      </c>
      <c r="C123" s="470">
        <f>INDEX('Referenčne količine'!$D49:$G49,MATCH(ObračunOB001!$C$3,'Referenčne količine'!$D$6:$G$6))</f>
        <v>5726</v>
      </c>
      <c r="D123" s="471">
        <v>0</v>
      </c>
      <c r="E123" s="472">
        <f>C123-D123</f>
        <v>5726</v>
      </c>
      <c r="F123" s="251"/>
      <c r="G123" s="1324"/>
      <c r="H123" s="452" t="s">
        <v>71</v>
      </c>
      <c r="I123" s="445">
        <v>1</v>
      </c>
      <c r="J123" s="369">
        <f>C123*I123</f>
        <v>5726</v>
      </c>
      <c r="K123" s="471">
        <v>0</v>
      </c>
      <c r="L123" s="472">
        <f>J123-K123</f>
        <v>5726</v>
      </c>
      <c r="M123" s="251"/>
      <c r="N123" s="1324"/>
      <c r="O123" s="452" t="s">
        <v>71</v>
      </c>
      <c r="P123" s="369">
        <f>J123</f>
        <v>5726</v>
      </c>
      <c r="Q123" s="473" cm="1">
        <f t="array" aca="1" ref="Q123" ca="1">INDIRECT($C$3&amp;"!E83")</f>
        <v>0</v>
      </c>
      <c r="R123" s="472">
        <f ca="1">P123-Q123</f>
        <v>5726</v>
      </c>
      <c r="S123" s="251"/>
      <c r="T123" s="251"/>
      <c r="U123" s="251"/>
      <c r="V123" s="251"/>
    </row>
    <row r="124" spans="2:40" ht="33" customHeight="1" thickBot="1" x14ac:dyDescent="0.25">
      <c r="B124" s="474" t="s">
        <v>163</v>
      </c>
      <c r="C124" s="334">
        <f>SUM(C123:C123)</f>
        <v>5726</v>
      </c>
      <c r="D124" s="475">
        <f>SUM(D123:D123)</f>
        <v>0</v>
      </c>
      <c r="E124" s="476">
        <f>SUM(E123:E123)</f>
        <v>5726</v>
      </c>
      <c r="F124" s="246"/>
      <c r="G124" s="1325"/>
      <c r="H124" s="1315" t="s">
        <v>163</v>
      </c>
      <c r="I124" s="1316"/>
      <c r="J124" s="334">
        <f>SUM(J123:J123)</f>
        <v>5726</v>
      </c>
      <c r="K124" s="475">
        <f>SUM(K123:K123)</f>
        <v>0</v>
      </c>
      <c r="L124" s="476">
        <f>SUM(L123:L123)</f>
        <v>5726</v>
      </c>
      <c r="M124" s="246"/>
      <c r="N124" s="1325"/>
      <c r="O124" s="474" t="s">
        <v>163</v>
      </c>
      <c r="P124" s="334">
        <f>SUM(P123:P123)</f>
        <v>5726</v>
      </c>
      <c r="Q124" s="475">
        <f ca="1">SUM(Q123:Q123)</f>
        <v>0</v>
      </c>
      <c r="R124" s="476">
        <f ca="1">SUM(R123:R123)</f>
        <v>5726</v>
      </c>
      <c r="S124" s="246"/>
      <c r="T124" s="246"/>
      <c r="U124" s="246"/>
      <c r="V124" s="246"/>
    </row>
    <row r="125" spans="2:40" ht="14.25" customHeight="1" x14ac:dyDescent="0.2">
      <c r="I125" s="257" t="s">
        <v>196</v>
      </c>
    </row>
  </sheetData>
  <mergeCells count="122">
    <mergeCell ref="K90:O90"/>
    <mergeCell ref="K99:O99"/>
    <mergeCell ref="J52:J55"/>
    <mergeCell ref="O52:O55"/>
    <mergeCell ref="N120:N124"/>
    <mergeCell ref="O120:R120"/>
    <mergeCell ref="E111:E113"/>
    <mergeCell ref="F111:F113"/>
    <mergeCell ref="G111:G113"/>
    <mergeCell ref="H111:H113"/>
    <mergeCell ref="I111:I113"/>
    <mergeCell ref="J111:J113"/>
    <mergeCell ref="F102:F104"/>
    <mergeCell ref="I102:I104"/>
    <mergeCell ref="D77:F77"/>
    <mergeCell ref="B65:D65"/>
    <mergeCell ref="G77:M77"/>
    <mergeCell ref="B56:D56"/>
    <mergeCell ref="B58:B59"/>
    <mergeCell ref="C58:C59"/>
    <mergeCell ref="D58:D59"/>
    <mergeCell ref="B121:B122"/>
    <mergeCell ref="H121:H122"/>
    <mergeCell ref="I121:I122"/>
    <mergeCell ref="O121:O122"/>
    <mergeCell ref="E108:H108"/>
    <mergeCell ref="I108:K108"/>
    <mergeCell ref="L108:M108"/>
    <mergeCell ref="H124:I124"/>
    <mergeCell ref="K111:K113"/>
    <mergeCell ref="B114:D114"/>
    <mergeCell ref="B120:E120"/>
    <mergeCell ref="G120:G124"/>
    <mergeCell ref="H120:L120"/>
    <mergeCell ref="N108:S108"/>
    <mergeCell ref="B99:B100"/>
    <mergeCell ref="C99:C100"/>
    <mergeCell ref="D99:D100"/>
    <mergeCell ref="E99:E100"/>
    <mergeCell ref="F99:F100"/>
    <mergeCell ref="G99:G100"/>
    <mergeCell ref="H99:J99"/>
    <mergeCell ref="G90:G91"/>
    <mergeCell ref="H90:J90"/>
    <mergeCell ref="F93:F95"/>
    <mergeCell ref="I93:I95"/>
    <mergeCell ref="B96:D96"/>
    <mergeCell ref="B90:B91"/>
    <mergeCell ref="C90:C91"/>
    <mergeCell ref="D90:D91"/>
    <mergeCell ref="E90:E91"/>
    <mergeCell ref="F90:F91"/>
    <mergeCell ref="B105:D105"/>
    <mergeCell ref="B108:B109"/>
    <mergeCell ref="C108:C109"/>
    <mergeCell ref="D108:D109"/>
    <mergeCell ref="C43:D43"/>
    <mergeCell ref="J31:J34"/>
    <mergeCell ref="F52:F55"/>
    <mergeCell ref="H52:H55"/>
    <mergeCell ref="M52:M55"/>
    <mergeCell ref="C42:D42"/>
    <mergeCell ref="B44:D44"/>
    <mergeCell ref="B48:B50"/>
    <mergeCell ref="C48:C50"/>
    <mergeCell ref="D48:D50"/>
    <mergeCell ref="E48:E50"/>
    <mergeCell ref="F48:F50"/>
    <mergeCell ref="G48:G50"/>
    <mergeCell ref="H48:H50"/>
    <mergeCell ref="I48:I50"/>
    <mergeCell ref="L49:M49"/>
    <mergeCell ref="B37:B38"/>
    <mergeCell ref="C37:D38"/>
    <mergeCell ref="B77:B79"/>
    <mergeCell ref="C77:C79"/>
    <mergeCell ref="B10:B12"/>
    <mergeCell ref="C11:E11"/>
    <mergeCell ref="F11:H11"/>
    <mergeCell ref="I11:K11"/>
    <mergeCell ref="L11:N11"/>
    <mergeCell ref="D24:E24"/>
    <mergeCell ref="B27:B29"/>
    <mergeCell ref="C27:D29"/>
    <mergeCell ref="C30:D30"/>
    <mergeCell ref="H27:H29"/>
    <mergeCell ref="D22:E22"/>
    <mergeCell ref="I22:J22"/>
    <mergeCell ref="N22:O22"/>
    <mergeCell ref="D23:E23"/>
    <mergeCell ref="I23:J23"/>
    <mergeCell ref="N23:O23"/>
    <mergeCell ref="E27:E29"/>
    <mergeCell ref="F27:F29"/>
    <mergeCell ref="G27:G29"/>
    <mergeCell ref="I27:I29"/>
    <mergeCell ref="J3:J4"/>
    <mergeCell ref="K3:M4"/>
    <mergeCell ref="Q3:T4"/>
    <mergeCell ref="C4:H5"/>
    <mergeCell ref="J5:J6"/>
    <mergeCell ref="K5:M6"/>
    <mergeCell ref="Q5:T6"/>
    <mergeCell ref="C6:H6"/>
    <mergeCell ref="Q8:U10"/>
    <mergeCell ref="C10:E10"/>
    <mergeCell ref="F10:H10"/>
    <mergeCell ref="I10:K10"/>
    <mergeCell ref="L10:N10"/>
    <mergeCell ref="P28:Q28"/>
    <mergeCell ref="M31:M34"/>
    <mergeCell ref="C31:D31"/>
    <mergeCell ref="O31:O34"/>
    <mergeCell ref="C39:D39"/>
    <mergeCell ref="C40:D40"/>
    <mergeCell ref="C41:D41"/>
    <mergeCell ref="C32:D32"/>
    <mergeCell ref="C33:D33"/>
    <mergeCell ref="B35:D35"/>
    <mergeCell ref="C34:D34"/>
    <mergeCell ref="F31:F34"/>
    <mergeCell ref="H31:H34"/>
  </mergeCells>
  <conditionalFormatting sqref="L31">
    <cfRule type="cellIs" dxfId="127" priority="53" operator="equal">
      <formula>0</formula>
    </cfRule>
  </conditionalFormatting>
  <conditionalFormatting sqref="J31">
    <cfRule type="cellIs" dxfId="126" priority="58" operator="equal">
      <formula>0</formula>
    </cfRule>
  </conditionalFormatting>
  <conditionalFormatting sqref="M31">
    <cfRule type="cellIs" dxfId="125" priority="57" operator="equal">
      <formula>0</formula>
    </cfRule>
  </conditionalFormatting>
  <conditionalFormatting sqref="P31">
    <cfRule type="cellIs" dxfId="124" priority="54" operator="equal">
      <formula>0</formula>
    </cfRule>
  </conditionalFormatting>
  <conditionalFormatting sqref="L52">
    <cfRule type="cellIs" dxfId="123" priority="41" operator="equal">
      <formula>0</formula>
    </cfRule>
  </conditionalFormatting>
  <conditionalFormatting sqref="O52">
    <cfRule type="cellIs" dxfId="122" priority="45" operator="equal">
      <formula>0</formula>
    </cfRule>
  </conditionalFormatting>
  <conditionalFormatting sqref="M52">
    <cfRule type="cellIs" dxfId="121" priority="44" operator="equal">
      <formula>0</formula>
    </cfRule>
  </conditionalFormatting>
  <conditionalFormatting sqref="P52">
    <cfRule type="cellIs" dxfId="120" priority="43" operator="equal">
      <formula>0</formula>
    </cfRule>
  </conditionalFormatting>
  <conditionalFormatting sqref="N52">
    <cfRule type="cellIs" dxfId="119" priority="42" operator="equal">
      <formula>0</formula>
    </cfRule>
  </conditionalFormatting>
  <conditionalFormatting sqref="P80:P82 P84">
    <cfRule type="cellIs" dxfId="118" priority="38" operator="lessThan">
      <formula>0</formula>
    </cfRule>
    <cfRule type="cellIs" dxfId="117" priority="39" operator="greaterThan">
      <formula>0</formula>
    </cfRule>
  </conditionalFormatting>
  <conditionalFormatting sqref="S111:S113">
    <cfRule type="cellIs" dxfId="116" priority="36" operator="lessThan">
      <formula>0</formula>
    </cfRule>
    <cfRule type="cellIs" dxfId="115" priority="37" operator="greaterThan">
      <formula>0</formula>
    </cfRule>
  </conditionalFormatting>
  <conditionalFormatting sqref="S114">
    <cfRule type="cellIs" dxfId="114" priority="34" operator="lessThan">
      <formula>0</formula>
    </cfRule>
    <cfRule type="cellIs" dxfId="113" priority="35" operator="greaterThan">
      <formula>0</formula>
    </cfRule>
  </conditionalFormatting>
  <conditionalFormatting sqref="L13:M13">
    <cfRule type="cellIs" dxfId="112" priority="32" operator="lessThan">
      <formula>0</formula>
    </cfRule>
    <cfRule type="cellIs" dxfId="111" priority="33" operator="greaterThan">
      <formula>0</formula>
    </cfRule>
  </conditionalFormatting>
  <conditionalFormatting sqref="L16:M16">
    <cfRule type="cellIs" dxfId="110" priority="30" operator="lessThan">
      <formula>0</formula>
    </cfRule>
    <cfRule type="cellIs" dxfId="109" priority="31" operator="greaterThan">
      <formula>0</formula>
    </cfRule>
  </conditionalFormatting>
  <conditionalFormatting sqref="L14:M14">
    <cfRule type="cellIs" dxfId="108" priority="28" operator="lessThan">
      <formula>0</formula>
    </cfRule>
    <cfRule type="cellIs" dxfId="107" priority="29" operator="greaterThan">
      <formula>0</formula>
    </cfRule>
  </conditionalFormatting>
  <conditionalFormatting sqref="L15:M15">
    <cfRule type="cellIs" dxfId="106" priority="26" operator="lessThan">
      <formula>0</formula>
    </cfRule>
    <cfRule type="cellIs" dxfId="105" priority="27" operator="greaterThan">
      <formula>0</formula>
    </cfRule>
  </conditionalFormatting>
  <conditionalFormatting sqref="N31">
    <cfRule type="cellIs" dxfId="104" priority="18" operator="equal">
      <formula>0</formula>
    </cfRule>
  </conditionalFormatting>
  <conditionalFormatting sqref="Q31">
    <cfRule type="cellIs" dxfId="103" priority="12" operator="equal">
      <formula>0</formula>
    </cfRule>
  </conditionalFormatting>
  <conditionalFormatting sqref="P83">
    <cfRule type="cellIs" dxfId="102" priority="8" operator="lessThan">
      <formula>0</formula>
    </cfRule>
    <cfRule type="cellIs" dxfId="101" priority="9" operator="greaterThan">
      <formula>0</formula>
    </cfRule>
  </conditionalFormatting>
  <conditionalFormatting sqref="K80:K82 K84">
    <cfRule type="cellIs" dxfId="100" priority="5" operator="lessThan">
      <formula>0</formula>
    </cfRule>
    <cfRule type="cellIs" dxfId="99" priority="6" operator="greaterThan">
      <formula>0</formula>
    </cfRule>
  </conditionalFormatting>
  <conditionalFormatting sqref="K83">
    <cfRule type="cellIs" dxfId="98" priority="3" operator="lessThan">
      <formula>0</formula>
    </cfRule>
    <cfRule type="cellIs" dxfId="97" priority="4" operator="greaterThan">
      <formula>0</formula>
    </cfRule>
  </conditionalFormatting>
  <conditionalFormatting sqref="J52">
    <cfRule type="cellIs" dxfId="96" priority="1" operator="equal">
      <formula>0</formula>
    </cfRule>
  </conditionalFormatting>
  <dataValidations disablePrompts="1" count="2">
    <dataValidation type="list" allowBlank="1" showInputMessage="1" showErrorMessage="1" sqref="D93:D95" xr:uid="{1C71D867-E181-4971-8BC1-3AFE78106154}">
      <formula1>"DA, NE"</formula1>
    </dataValidation>
    <dataValidation type="list" errorStyle="warning" allowBlank="1" showInputMessage="1" showErrorMessage="1" errorTitle="NEPRAVILNA VREDNOST" error="PREVERI VNOS!_x000a__x000a_Dovoljene vrednosti:_x000a_- OSNUTEK_x000a_- PREDLOG_x000a_- POTRJENO" sqref="K5" xr:uid="{75F72B82-97C8-47C6-8E3D-B9BA1D8F9A8F}">
      <formula1>"OSNUTEK, PREDLOG, POTRJENO"</formula1>
    </dataValidation>
  </dataValidations>
  <pageMargins left="0.43307086614173229" right="0.43307086614173229" top="0.74803149606299213" bottom="0.74803149606299213" header="0.31496062992125984" footer="0.31496062992125984"/>
  <pageSetup paperSize="9" scale="18" fitToHeight="0" orientation="landscape" r:id="rId1"/>
  <headerFooter>
    <oddHeader>&amp;L&amp;"Arial,Krepko"&amp;20PETROL d.d., Ljubljana
Dunajska 50, 1000 Ljubljana&amp;C&amp;"Arial Black,Navadno"&amp;16OBRAČUN PRIHRANKOV</oddHeader>
    <oddFooter>&amp;L&amp;A&amp;C&amp;P/&amp;N&amp;R&amp;D</oddFooter>
  </headerFooter>
  <ignoredErrors>
    <ignoredError sqref="I84" formula="1"/>
  </ignoredErrors>
  <legacyDrawing r:id="rId2"/>
  <extLst>
    <ext xmlns:x14="http://schemas.microsoft.com/office/spreadsheetml/2009/9/main" uri="{CCE6A557-97BC-4b89-ADB6-D9C93CAAB3DF}">
      <x14:dataValidations xmlns:xm="http://schemas.microsoft.com/office/excel/2006/main" disablePrompts="1" count="1">
        <x14:dataValidation type="list" showInputMessage="1" showErrorMessage="1" xr:uid="{4B5F2E9E-625C-4698-8A50-4D20C8A4B110}">
          <x14:formula1>
            <xm:f>'Osnovni podatki'!$C$6:$C$9</xm:f>
          </x14:formula1>
          <xm:sqref>C3</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5FDF-A49C-4DC7-9CDD-D13DA2199DC6}">
  <sheetPr>
    <tabColor theme="4"/>
    <pageSetUpPr fitToPage="1"/>
  </sheetPr>
  <dimension ref="A1:AP125"/>
  <sheetViews>
    <sheetView topLeftCell="A91" zoomScale="55" zoomScaleNormal="55" zoomScalePageLayoutView="40" workbookViewId="0">
      <selection activeCell="S102" sqref="S102"/>
    </sheetView>
  </sheetViews>
  <sheetFormatPr defaultColWidth="9" defaultRowHeight="14.25" customHeight="1" x14ac:dyDescent="0.2"/>
  <cols>
    <col min="1" max="1" width="5.140625" style="248" customWidth="1"/>
    <col min="2" max="2" width="25.7109375" style="248" customWidth="1"/>
    <col min="3" max="4" width="21.140625" style="248" customWidth="1"/>
    <col min="5" max="17" width="20.7109375" style="248" customWidth="1"/>
    <col min="18" max="18" width="19.7109375" style="248" customWidth="1"/>
    <col min="19" max="19" width="20.140625" style="248" customWidth="1"/>
    <col min="20" max="23" width="17.85546875" style="248" customWidth="1"/>
    <col min="24" max="24" width="19.5703125" style="248" customWidth="1"/>
    <col min="25" max="25" width="17.85546875" style="248" customWidth="1"/>
    <col min="26" max="26" width="16.140625" style="248" bestFit="1" customWidth="1"/>
    <col min="27" max="35" width="16.140625" style="248" customWidth="1"/>
    <col min="36" max="36" width="27.5703125" style="248" bestFit="1" customWidth="1"/>
    <col min="37" max="37" width="19.140625" style="248" customWidth="1"/>
    <col min="38" max="38" width="33.7109375" style="248" customWidth="1"/>
    <col min="39" max="39" width="19.85546875" style="248" customWidth="1"/>
    <col min="40" max="16384" width="9" style="248"/>
  </cols>
  <sheetData>
    <row r="1" spans="2:40" ht="44.25" x14ac:dyDescent="0.2">
      <c r="B1" s="244" t="s">
        <v>139</v>
      </c>
      <c r="C1" s="245"/>
      <c r="D1" s="245"/>
      <c r="E1" s="245"/>
      <c r="F1" s="245"/>
      <c r="G1" s="245"/>
      <c r="H1" s="245"/>
      <c r="I1" s="245"/>
      <c r="J1" s="246"/>
      <c r="K1" s="246"/>
      <c r="L1" s="246"/>
      <c r="M1" s="246"/>
      <c r="N1" s="246"/>
      <c r="O1" s="246"/>
      <c r="P1" s="246"/>
      <c r="Q1" s="246"/>
      <c r="R1" s="246"/>
      <c r="S1" s="246"/>
      <c r="T1" s="246"/>
      <c r="U1" s="246"/>
      <c r="V1" s="246"/>
      <c r="W1" s="247"/>
      <c r="X1" s="247"/>
    </row>
    <row r="2" spans="2:40" ht="15" x14ac:dyDescent="0.2">
      <c r="B2" s="245"/>
      <c r="C2" s="245"/>
      <c r="D2" s="245"/>
      <c r="E2" s="245"/>
      <c r="F2" s="245"/>
      <c r="G2" s="245"/>
      <c r="H2" s="245"/>
      <c r="I2" s="245"/>
      <c r="J2" s="246"/>
      <c r="K2" s="246"/>
      <c r="L2" s="246"/>
      <c r="M2" s="246"/>
      <c r="N2" s="246"/>
      <c r="O2" s="246"/>
      <c r="P2" s="246"/>
      <c r="Q2" s="246"/>
      <c r="R2" s="246"/>
      <c r="S2" s="246"/>
      <c r="T2" s="246"/>
      <c r="U2" s="246"/>
      <c r="V2" s="246"/>
      <c r="W2" s="247"/>
      <c r="X2" s="247"/>
    </row>
    <row r="3" spans="2:40" ht="19.5" x14ac:dyDescent="0.2">
      <c r="B3" s="249" t="s">
        <v>140</v>
      </c>
      <c r="C3" s="250" t="s">
        <v>269</v>
      </c>
      <c r="D3" s="251"/>
      <c r="E3" s="251"/>
      <c r="F3" s="251"/>
      <c r="G3" s="252"/>
      <c r="H3" s="251"/>
      <c r="I3" s="251"/>
      <c r="J3" s="1214" t="s">
        <v>142</v>
      </c>
      <c r="K3" s="1215"/>
      <c r="L3" s="1216"/>
      <c r="M3" s="1217"/>
      <c r="N3" s="251"/>
      <c r="O3" s="251"/>
      <c r="P3" s="253" t="s">
        <v>143</v>
      </c>
      <c r="Q3" s="1221"/>
      <c r="R3" s="1222"/>
      <c r="S3" s="1222"/>
      <c r="T3" s="1223"/>
      <c r="U3" s="251"/>
      <c r="V3" s="251"/>
    </row>
    <row r="4" spans="2:40" ht="27" customHeight="1" x14ac:dyDescent="0.2">
      <c r="B4" s="252" t="s">
        <v>144</v>
      </c>
      <c r="C4" s="1227" t="str">
        <f>INDEX('Referenčne količine'!$D7:$G7,MATCH(ObračunOB002!$C$3,'Referenčne količine'!$D$6:$G$6))</f>
        <v>Zadružni dom Vnanje Gorice</v>
      </c>
      <c r="D4" s="1228"/>
      <c r="E4" s="1228"/>
      <c r="F4" s="1228"/>
      <c r="G4" s="1228"/>
      <c r="H4" s="1229"/>
      <c r="I4" s="251"/>
      <c r="J4" s="1214"/>
      <c r="K4" s="1218"/>
      <c r="L4" s="1219"/>
      <c r="M4" s="1220"/>
      <c r="N4" s="251"/>
      <c r="O4" s="251"/>
      <c r="P4" s="253"/>
      <c r="Q4" s="1224"/>
      <c r="R4" s="1225"/>
      <c r="S4" s="1225"/>
      <c r="T4" s="1226"/>
      <c r="U4" s="251"/>
      <c r="V4" s="251"/>
    </row>
    <row r="5" spans="2:40" ht="24.75" customHeight="1" x14ac:dyDescent="0.2">
      <c r="B5" s="254"/>
      <c r="C5" s="1230"/>
      <c r="D5" s="1231"/>
      <c r="E5" s="1231"/>
      <c r="F5" s="1231"/>
      <c r="G5" s="1231"/>
      <c r="H5" s="1232"/>
      <c r="I5" s="251"/>
      <c r="J5" s="1214" t="s">
        <v>145</v>
      </c>
      <c r="K5" s="1233"/>
      <c r="L5" s="1234"/>
      <c r="M5" s="1235"/>
      <c r="N5" s="251"/>
      <c r="O5" s="251"/>
      <c r="P5" s="253" t="s">
        <v>146</v>
      </c>
      <c r="Q5" s="1239"/>
      <c r="R5" s="1239"/>
      <c r="S5" s="1239"/>
      <c r="T5" s="1239"/>
      <c r="U5" s="251"/>
      <c r="V5" s="251"/>
    </row>
    <row r="6" spans="2:40" ht="52.5" customHeight="1" x14ac:dyDescent="0.2">
      <c r="B6" s="249" t="s">
        <v>147</v>
      </c>
      <c r="C6" s="1240" t="str">
        <f>INDEX('Osnovni podatki'!E6:E9,MATCH(ObračunOB002!$C$3,'Osnovni podatki'!$C$6:$C$9))</f>
        <v>Nova pot 5, 
1351 Brezovica pri Ljubljani</v>
      </c>
      <c r="D6" s="1241"/>
      <c r="E6" s="1241"/>
      <c r="F6" s="1241"/>
      <c r="G6" s="1241"/>
      <c r="H6" s="1242"/>
      <c r="I6" s="255"/>
      <c r="J6" s="1214"/>
      <c r="K6" s="1236"/>
      <c r="L6" s="1237"/>
      <c r="M6" s="1238"/>
      <c r="N6" s="255"/>
      <c r="O6" s="255"/>
      <c r="P6" s="253"/>
      <c r="Q6" s="1239"/>
      <c r="R6" s="1239"/>
      <c r="S6" s="1239"/>
      <c r="T6" s="1239"/>
      <c r="U6" s="255"/>
      <c r="V6" s="255"/>
    </row>
    <row r="7" spans="2:40" ht="18" x14ac:dyDescent="0.2">
      <c r="B7" s="256"/>
      <c r="C7" s="247"/>
      <c r="D7" s="247"/>
      <c r="E7" s="247"/>
      <c r="F7" s="247"/>
      <c r="G7" s="247"/>
      <c r="H7" s="247"/>
      <c r="I7" s="245"/>
      <c r="J7" s="247"/>
      <c r="K7" s="247"/>
      <c r="L7" s="247"/>
      <c r="M7" s="247"/>
      <c r="N7" s="246"/>
      <c r="O7" s="247"/>
      <c r="P7" s="253"/>
      <c r="Q7" s="255"/>
      <c r="R7" s="255"/>
      <c r="S7" s="255"/>
      <c r="T7" s="255"/>
      <c r="U7" s="255"/>
      <c r="V7" s="255"/>
    </row>
    <row r="8" spans="2:40" ht="18" customHeight="1" x14ac:dyDescent="0.2">
      <c r="B8" s="257"/>
      <c r="C8" s="247"/>
      <c r="D8" s="247"/>
      <c r="F8" s="247"/>
      <c r="G8" s="247"/>
      <c r="H8" s="247"/>
      <c r="I8" s="245" t="s">
        <v>148</v>
      </c>
      <c r="N8" s="246"/>
      <c r="O8" s="247"/>
      <c r="P8" s="253" t="s">
        <v>149</v>
      </c>
      <c r="Q8" s="1243"/>
      <c r="R8" s="1244"/>
      <c r="S8" s="1244"/>
      <c r="T8" s="1244"/>
      <c r="U8" s="1245"/>
      <c r="V8" s="255"/>
    </row>
    <row r="9" spans="2:40" ht="30.75" thickBot="1" x14ac:dyDescent="0.25">
      <c r="B9" s="258" t="s">
        <v>150</v>
      </c>
      <c r="C9" s="247"/>
      <c r="D9" s="247"/>
      <c r="E9" s="247"/>
      <c r="F9" s="247"/>
      <c r="G9" s="247"/>
      <c r="H9" s="247"/>
      <c r="I9" s="245"/>
      <c r="J9" s="247"/>
      <c r="K9" s="247"/>
      <c r="L9" s="247"/>
      <c r="N9" s="246"/>
      <c r="O9" s="247"/>
      <c r="P9" s="253"/>
      <c r="Q9" s="1246"/>
      <c r="R9" s="1247"/>
      <c r="S9" s="1247"/>
      <c r="T9" s="1247"/>
      <c r="U9" s="1248"/>
      <c r="V9" s="255"/>
      <c r="Y9" s="259"/>
      <c r="Z9" s="259"/>
      <c r="AA9" s="259"/>
      <c r="AB9" s="259"/>
      <c r="AC9" s="259"/>
      <c r="AD9" s="259"/>
      <c r="AE9" s="259"/>
      <c r="AF9" s="259"/>
      <c r="AG9" s="259"/>
      <c r="AH9" s="259"/>
      <c r="AI9" s="259"/>
      <c r="AJ9" s="259"/>
      <c r="AK9" s="260"/>
      <c r="AL9" s="260"/>
      <c r="AM9" s="260"/>
      <c r="AN9" s="260"/>
    </row>
    <row r="10" spans="2:40" ht="45.75" customHeight="1" x14ac:dyDescent="0.2">
      <c r="B10" s="1260"/>
      <c r="C10" s="1252" t="s">
        <v>151</v>
      </c>
      <c r="D10" s="1253"/>
      <c r="E10" s="1254"/>
      <c r="F10" s="1255" t="s">
        <v>152</v>
      </c>
      <c r="G10" s="1256"/>
      <c r="H10" s="1257"/>
      <c r="I10" s="1258" t="s">
        <v>153</v>
      </c>
      <c r="J10" s="1256"/>
      <c r="K10" s="1259"/>
      <c r="L10" s="1255" t="s">
        <v>154</v>
      </c>
      <c r="M10" s="1256"/>
      <c r="N10" s="1259"/>
      <c r="O10" s="247"/>
      <c r="P10" s="261"/>
      <c r="Q10" s="1249"/>
      <c r="R10" s="1250"/>
      <c r="S10" s="1250"/>
      <c r="T10" s="1250"/>
      <c r="U10" s="1251"/>
      <c r="V10" s="255"/>
      <c r="Y10" s="259"/>
      <c r="Z10" s="259"/>
      <c r="AA10" s="259"/>
      <c r="AB10" s="259"/>
      <c r="AC10" s="259"/>
      <c r="AD10" s="259"/>
      <c r="AE10" s="259"/>
      <c r="AF10" s="259"/>
      <c r="AG10" s="259"/>
      <c r="AH10" s="259"/>
      <c r="AI10" s="259"/>
      <c r="AJ10" s="259"/>
      <c r="AK10" s="260"/>
      <c r="AL10" s="260"/>
      <c r="AM10" s="260"/>
      <c r="AN10" s="260"/>
    </row>
    <row r="11" spans="2:40" ht="18" customHeight="1" x14ac:dyDescent="0.2">
      <c r="B11" s="1261"/>
      <c r="C11" s="1263" t="s">
        <v>155</v>
      </c>
      <c r="D11" s="1264"/>
      <c r="E11" s="1265"/>
      <c r="F11" s="1263" t="s">
        <v>155</v>
      </c>
      <c r="G11" s="1264"/>
      <c r="H11" s="1265"/>
      <c r="I11" s="1263" t="s">
        <v>156</v>
      </c>
      <c r="J11" s="1264"/>
      <c r="K11" s="1265"/>
      <c r="L11" s="1263" t="s">
        <v>157</v>
      </c>
      <c r="M11" s="1264"/>
      <c r="N11" s="1265"/>
      <c r="O11" s="247"/>
      <c r="P11" s="261"/>
      <c r="R11" s="255"/>
      <c r="S11" s="255"/>
      <c r="T11" s="255"/>
      <c r="U11" s="255"/>
      <c r="V11" s="255"/>
      <c r="Y11" s="259"/>
      <c r="Z11" s="259"/>
      <c r="AA11" s="259"/>
      <c r="AB11" s="259"/>
      <c r="AC11" s="259"/>
      <c r="AD11" s="259"/>
      <c r="AE11" s="259"/>
      <c r="AF11" s="259"/>
      <c r="AG11" s="259"/>
      <c r="AH11" s="259"/>
      <c r="AI11" s="259"/>
      <c r="AJ11" s="259"/>
      <c r="AK11" s="260"/>
      <c r="AL11" s="260"/>
      <c r="AM11" s="260"/>
      <c r="AN11" s="260"/>
    </row>
    <row r="12" spans="2:40" ht="30.75" customHeight="1" thickBot="1" x14ac:dyDescent="0.25">
      <c r="B12" s="1262"/>
      <c r="C12" s="262" t="s">
        <v>64</v>
      </c>
      <c r="D12" s="263" t="s">
        <v>158</v>
      </c>
      <c r="E12" s="264" t="s">
        <v>102</v>
      </c>
      <c r="F12" s="265" t="s">
        <v>64</v>
      </c>
      <c r="G12" s="263" t="s">
        <v>158</v>
      </c>
      <c r="H12" s="266" t="s">
        <v>102</v>
      </c>
      <c r="I12" s="262" t="s">
        <v>64</v>
      </c>
      <c r="J12" s="263" t="s">
        <v>158</v>
      </c>
      <c r="K12" s="264" t="s">
        <v>102</v>
      </c>
      <c r="L12" s="265" t="s">
        <v>64</v>
      </c>
      <c r="M12" s="263" t="s">
        <v>158</v>
      </c>
      <c r="N12" s="267" t="s">
        <v>159</v>
      </c>
      <c r="O12" s="247"/>
      <c r="P12" s="261"/>
      <c r="R12" s="255"/>
      <c r="S12" s="255"/>
      <c r="T12" s="255"/>
      <c r="U12" s="255"/>
      <c r="V12" s="255"/>
      <c r="Y12" s="259"/>
      <c r="Z12" s="259"/>
      <c r="AA12" s="259"/>
      <c r="AB12" s="259"/>
      <c r="AC12" s="259"/>
      <c r="AD12" s="259"/>
      <c r="AE12" s="259"/>
      <c r="AF12" s="259"/>
      <c r="AG12" s="259"/>
      <c r="AH12" s="259"/>
      <c r="AI12" s="259"/>
      <c r="AJ12" s="259"/>
      <c r="AK12" s="260"/>
      <c r="AL12" s="260"/>
      <c r="AM12" s="260"/>
      <c r="AN12" s="260"/>
    </row>
    <row r="13" spans="2:40" ht="45.75" customHeight="1" x14ac:dyDescent="0.2">
      <c r="B13" s="268" t="s">
        <v>160</v>
      </c>
      <c r="C13" s="269">
        <f ca="1">SUM(H44:I44)</f>
        <v>98598.333334460243</v>
      </c>
      <c r="D13" s="270">
        <f ca="1">M44</f>
        <v>9859.833333446024</v>
      </c>
      <c r="E13" s="271">
        <f ca="1">D13/I35</f>
        <v>1</v>
      </c>
      <c r="F13" s="272">
        <f ca="1">SUM(H65:I65)</f>
        <v>98598</v>
      </c>
      <c r="G13" s="270">
        <f ca="1">M65</f>
        <v>9859.7999999999993</v>
      </c>
      <c r="H13" s="273">
        <f ca="1">M65/I56</f>
        <v>1</v>
      </c>
      <c r="I13" s="274">
        <f>IFERROR(SUM(G84:H84),0)</f>
        <v>0</v>
      </c>
      <c r="J13" s="270">
        <f ca="1">IFERROR(N84,0)</f>
        <v>0</v>
      </c>
      <c r="K13" s="271" t="e">
        <f ca="1">N84/I56</f>
        <v>#DIV/0!</v>
      </c>
      <c r="L13" s="275">
        <f ca="1">I13-F13</f>
        <v>-98598</v>
      </c>
      <c r="M13" s="276">
        <f ca="1">ROUND(J13-G13,2)</f>
        <v>-9859.7999999999993</v>
      </c>
      <c r="N13" s="277" t="str">
        <f ca="1">IF(M13&gt;0,"BONUS",IF(M13&lt;0,"MALUS","-"))</f>
        <v>MALUS</v>
      </c>
      <c r="O13" s="253"/>
      <c r="P13" s="261"/>
      <c r="R13" s="255"/>
      <c r="S13" s="255"/>
      <c r="T13" s="255"/>
      <c r="U13" s="255"/>
      <c r="V13" s="255"/>
      <c r="Y13" s="259"/>
      <c r="Z13" s="259"/>
      <c r="AA13" s="259"/>
      <c r="AB13" s="259"/>
      <c r="AC13" s="259"/>
      <c r="AD13" s="259"/>
      <c r="AE13" s="259"/>
      <c r="AF13" s="259"/>
      <c r="AG13" s="259"/>
      <c r="AH13" s="259"/>
      <c r="AI13" s="259"/>
      <c r="AJ13" s="259"/>
      <c r="AK13" s="260"/>
      <c r="AL13" s="260"/>
      <c r="AM13" s="260"/>
      <c r="AN13" s="260"/>
    </row>
    <row r="14" spans="2:40" ht="45.75" customHeight="1" x14ac:dyDescent="0.2">
      <c r="B14" s="278" t="s">
        <v>161</v>
      </c>
      <c r="C14" s="279">
        <f ca="1">SUM(K96:L96)</f>
        <v>33775</v>
      </c>
      <c r="D14" s="280">
        <f ca="1">O96</f>
        <v>5640.4250000000002</v>
      </c>
      <c r="E14" s="281">
        <f ca="1">O96/G96</f>
        <v>0.40366261526046671</v>
      </c>
      <c r="F14" s="282">
        <f ca="1">SUM(K105:L105)</f>
        <v>83671.360000000001</v>
      </c>
      <c r="G14" s="280">
        <f ca="1">O105</f>
        <v>13973.117119999999</v>
      </c>
      <c r="H14" s="283">
        <f ca="1">O105/G105</f>
        <v>1</v>
      </c>
      <c r="I14" s="284">
        <f ca="1">IFERROR(SUM(N114:O114),0)</f>
        <v>33775</v>
      </c>
      <c r="J14" s="280">
        <f ca="1">IFERROR(R114,0)</f>
        <v>5640.4250000000002</v>
      </c>
      <c r="K14" s="281">
        <f ca="1">R114/G105</f>
        <v>0.40366261526046671</v>
      </c>
      <c r="L14" s="275">
        <f ca="1">I14-F14</f>
        <v>-49896.36</v>
      </c>
      <c r="M14" s="276">
        <f ca="1">ROUND(J14-G14,2)</f>
        <v>-8332.69</v>
      </c>
      <c r="N14" s="277" t="str">
        <f ca="1">IF(M14&gt;0,"BONUS",IF(M14&lt;0,"MALUS","-"))</f>
        <v>MALUS</v>
      </c>
      <c r="O14" s="253"/>
      <c r="P14" s="261"/>
      <c r="R14" s="255"/>
      <c r="S14" s="255"/>
      <c r="T14" s="255"/>
      <c r="U14" s="255"/>
      <c r="V14" s="255"/>
      <c r="Y14" s="259"/>
      <c r="Z14" s="259"/>
      <c r="AA14" s="259"/>
      <c r="AB14" s="259"/>
      <c r="AC14" s="259"/>
      <c r="AD14" s="259"/>
      <c r="AE14" s="259"/>
      <c r="AF14" s="259"/>
      <c r="AG14" s="259"/>
      <c r="AH14" s="259"/>
      <c r="AI14" s="259"/>
      <c r="AJ14" s="259"/>
      <c r="AK14" s="260"/>
      <c r="AL14" s="260"/>
      <c r="AM14" s="260"/>
      <c r="AN14" s="260"/>
    </row>
    <row r="15" spans="2:40" ht="45.75" customHeight="1" thickBot="1" x14ac:dyDescent="0.25">
      <c r="B15" s="285" t="s">
        <v>162</v>
      </c>
      <c r="C15" s="286">
        <v>0</v>
      </c>
      <c r="D15" s="287">
        <f>E124</f>
        <v>3783</v>
      </c>
      <c r="E15" s="288">
        <f>E124/C124</f>
        <v>1</v>
      </c>
      <c r="F15" s="289">
        <v>0</v>
      </c>
      <c r="G15" s="287">
        <f>L124</f>
        <v>3783</v>
      </c>
      <c r="H15" s="290">
        <f>L124/J123</f>
        <v>1</v>
      </c>
      <c r="I15" s="291">
        <v>0</v>
      </c>
      <c r="J15" s="287">
        <f ca="1">R124</f>
        <v>3783</v>
      </c>
      <c r="K15" s="288">
        <f ca="1">R124/P123</f>
        <v>1</v>
      </c>
      <c r="L15" s="275">
        <f>I15-F15</f>
        <v>0</v>
      </c>
      <c r="M15" s="276">
        <f ca="1">ROUND(J15-G15,2)</f>
        <v>0</v>
      </c>
      <c r="N15" s="277" t="str">
        <f ca="1">IF(M15&gt;0,"BONUS",IF(M15&lt;0,"MALUS","-"))</f>
        <v>-</v>
      </c>
      <c r="O15" s="253"/>
      <c r="P15" s="261"/>
      <c r="R15" s="255"/>
      <c r="S15" s="255"/>
      <c r="T15" s="255"/>
      <c r="U15" s="255"/>
      <c r="V15" s="255"/>
      <c r="Y15" s="259"/>
      <c r="Z15" s="259"/>
      <c r="AA15" s="259"/>
      <c r="AB15" s="259"/>
      <c r="AC15" s="259"/>
      <c r="AD15" s="259"/>
      <c r="AE15" s="259"/>
      <c r="AF15" s="259"/>
      <c r="AG15" s="259"/>
      <c r="AH15" s="259"/>
      <c r="AI15" s="259"/>
      <c r="AJ15" s="259"/>
      <c r="AK15" s="260"/>
      <c r="AL15" s="260"/>
      <c r="AM15" s="260"/>
      <c r="AN15" s="260"/>
    </row>
    <row r="16" spans="2:40" ht="45.75" customHeight="1" thickBot="1" x14ac:dyDescent="0.25">
      <c r="B16" s="292" t="s">
        <v>163</v>
      </c>
      <c r="C16" s="293">
        <f ca="1">SUM(C13:C15)</f>
        <v>132373.33333446024</v>
      </c>
      <c r="D16" s="294">
        <f ca="1">SUM(D13:D15)</f>
        <v>19283.258333446025</v>
      </c>
      <c r="E16" s="295">
        <f ca="1">AVERAGE(E13:E15)</f>
        <v>0.80122087175348888</v>
      </c>
      <c r="F16" s="296">
        <f ca="1">SUM(F13:F15)</f>
        <v>182269.36</v>
      </c>
      <c r="G16" s="294">
        <f ca="1">SUM(G13:G15)</f>
        <v>27615.917119999998</v>
      </c>
      <c r="H16" s="297">
        <f ca="1">AVERAGE(H13:H15)</f>
        <v>1</v>
      </c>
      <c r="I16" s="298">
        <f ca="1">SUM(I13:I15)</f>
        <v>33775</v>
      </c>
      <c r="J16" s="294">
        <f ca="1">SUM(J13:J15)</f>
        <v>9423.4249999999993</v>
      </c>
      <c r="K16" s="295" t="e">
        <f ca="1">AVERAGE(K13:K15)</f>
        <v>#DIV/0!</v>
      </c>
      <c r="L16" s="299">
        <f ca="1">SUM(L13:L15)</f>
        <v>-148494.35999999999</v>
      </c>
      <c r="M16" s="300">
        <f ca="1">SUM(M13:M15)</f>
        <v>-18192.489999999998</v>
      </c>
      <c r="N16" s="301" t="str">
        <f ca="1">IF(M13&gt;0,"BONUS",IF(M13&lt;0,"MALUS","-"))</f>
        <v>MALUS</v>
      </c>
      <c r="O16" s="253"/>
      <c r="P16" s="255"/>
      <c r="Q16" s="255"/>
      <c r="R16" s="255"/>
      <c r="S16" s="255"/>
      <c r="T16" s="255"/>
      <c r="U16" s="255"/>
      <c r="V16" s="255"/>
      <c r="Y16" s="259"/>
      <c r="Z16" s="259"/>
      <c r="AA16" s="259"/>
      <c r="AB16" s="259"/>
      <c r="AC16" s="259"/>
      <c r="AD16" s="259"/>
      <c r="AE16" s="259"/>
      <c r="AF16" s="259"/>
      <c r="AG16" s="259"/>
      <c r="AH16" s="259"/>
      <c r="AI16" s="259"/>
      <c r="AJ16" s="259"/>
      <c r="AK16" s="260"/>
      <c r="AL16" s="260"/>
      <c r="AM16" s="260"/>
      <c r="AN16" s="260"/>
    </row>
    <row r="17" spans="1:40" ht="18" x14ac:dyDescent="0.2">
      <c r="B17" s="256"/>
      <c r="C17" s="247"/>
      <c r="D17" s="247"/>
      <c r="E17" s="247"/>
      <c r="F17" s="247"/>
      <c r="G17" s="247"/>
      <c r="H17" s="247"/>
      <c r="I17" s="245"/>
      <c r="J17" s="247"/>
      <c r="K17" s="247"/>
      <c r="L17" s="247"/>
      <c r="M17" s="247"/>
      <c r="N17" s="246"/>
      <c r="O17" s="247"/>
      <c r="P17" s="255"/>
      <c r="Q17" s="255"/>
      <c r="R17" s="255"/>
      <c r="S17" s="255"/>
      <c r="T17" s="255"/>
      <c r="U17" s="255"/>
      <c r="V17" s="255"/>
      <c r="Y17" s="259"/>
      <c r="Z17" s="259"/>
      <c r="AA17" s="259"/>
      <c r="AB17" s="259"/>
      <c r="AC17" s="259"/>
      <c r="AD17" s="259"/>
      <c r="AE17" s="259"/>
      <c r="AF17" s="259"/>
      <c r="AG17" s="259"/>
      <c r="AH17" s="259"/>
      <c r="AI17" s="259"/>
      <c r="AJ17" s="259"/>
      <c r="AK17" s="260"/>
      <c r="AL17" s="260"/>
      <c r="AM17" s="260"/>
      <c r="AN17" s="260"/>
    </row>
    <row r="18" spans="1:40" ht="18.75" thickBot="1" x14ac:dyDescent="0.25">
      <c r="B18" s="256"/>
      <c r="C18" s="247"/>
      <c r="D18" s="247"/>
      <c r="E18" s="247"/>
      <c r="F18" s="247"/>
      <c r="G18" s="247"/>
      <c r="H18" s="247"/>
      <c r="I18" s="245"/>
      <c r="J18" s="246"/>
      <c r="K18" s="246"/>
      <c r="L18" s="246"/>
      <c r="M18" s="246"/>
      <c r="N18" s="246"/>
      <c r="O18" s="247"/>
      <c r="P18" s="247"/>
      <c r="Q18" s="247"/>
      <c r="R18" s="247"/>
      <c r="S18" s="247"/>
      <c r="T18" s="255"/>
      <c r="U18" s="255"/>
      <c r="V18" s="255"/>
      <c r="Y18" s="259"/>
      <c r="Z18" s="259"/>
      <c r="AA18" s="259"/>
      <c r="AB18" s="259"/>
      <c r="AC18" s="259"/>
      <c r="AD18" s="259"/>
      <c r="AE18" s="259"/>
      <c r="AF18" s="259"/>
      <c r="AG18" s="259"/>
      <c r="AH18" s="259"/>
      <c r="AI18" s="259"/>
      <c r="AJ18" s="259"/>
      <c r="AK18" s="260"/>
      <c r="AL18" s="260"/>
      <c r="AM18" s="260"/>
      <c r="AN18" s="260"/>
    </row>
    <row r="19" spans="1:40" ht="30.75" thickBot="1" x14ac:dyDescent="0.25">
      <c r="B19" s="302" t="s">
        <v>164</v>
      </c>
      <c r="C19" s="303"/>
      <c r="D19" s="303"/>
      <c r="E19" s="303"/>
      <c r="F19" s="303"/>
      <c r="G19" s="303"/>
      <c r="H19" s="303"/>
      <c r="I19" s="303"/>
      <c r="J19" s="303"/>
      <c r="K19" s="303"/>
      <c r="L19" s="303"/>
      <c r="M19" s="303"/>
      <c r="N19" s="303"/>
      <c r="O19" s="303"/>
      <c r="P19" s="303"/>
      <c r="Q19" s="303"/>
      <c r="R19" s="303"/>
      <c r="S19" s="303"/>
      <c r="T19" s="303"/>
      <c r="U19" s="303"/>
      <c r="V19" s="304"/>
      <c r="Y19" s="259"/>
      <c r="Z19" s="259"/>
      <c r="AA19" s="259"/>
      <c r="AB19" s="259"/>
      <c r="AC19" s="259"/>
      <c r="AD19" s="259"/>
      <c r="AE19" s="259"/>
      <c r="AF19" s="259"/>
      <c r="AG19" s="259"/>
      <c r="AH19" s="259"/>
      <c r="AI19" s="259"/>
      <c r="AJ19" s="259"/>
      <c r="AK19" s="260"/>
      <c r="AL19" s="260"/>
      <c r="AM19" s="260"/>
      <c r="AN19" s="260"/>
    </row>
    <row r="20" spans="1:40" ht="30" x14ac:dyDescent="0.2">
      <c r="B20" s="258"/>
      <c r="C20" s="258"/>
      <c r="D20" s="258"/>
      <c r="E20" s="258"/>
      <c r="F20" s="258"/>
      <c r="G20" s="258"/>
      <c r="H20" s="258"/>
      <c r="I20" s="258"/>
      <c r="J20" s="258"/>
      <c r="K20" s="258"/>
      <c r="L20" s="258"/>
      <c r="M20" s="258"/>
      <c r="N20" s="258"/>
      <c r="O20" s="258"/>
      <c r="P20" s="258"/>
      <c r="Q20" s="258"/>
      <c r="R20" s="258"/>
      <c r="S20" s="258"/>
      <c r="T20" s="258"/>
      <c r="U20" s="258"/>
      <c r="V20" s="258"/>
      <c r="Y20" s="259"/>
      <c r="Z20" s="259"/>
      <c r="AA20" s="259"/>
      <c r="AB20" s="259"/>
      <c r="AC20" s="259"/>
      <c r="AD20" s="259"/>
      <c r="AE20" s="259"/>
      <c r="AF20" s="259"/>
      <c r="AG20" s="259"/>
      <c r="AH20" s="259"/>
      <c r="AI20" s="259"/>
      <c r="AJ20" s="259"/>
      <c r="AK20" s="260"/>
      <c r="AL20" s="260"/>
      <c r="AM20" s="260"/>
      <c r="AN20" s="260"/>
    </row>
    <row r="21" spans="1:40" ht="30" x14ac:dyDescent="0.2">
      <c r="B21" s="256"/>
      <c r="C21" s="561" t="s">
        <v>165</v>
      </c>
      <c r="D21" s="247"/>
      <c r="E21" s="247"/>
      <c r="F21" s="247"/>
      <c r="G21" s="247"/>
      <c r="H21" s="247"/>
      <c r="I21" s="245"/>
      <c r="J21" s="246"/>
      <c r="K21" s="246"/>
      <c r="L21" s="246"/>
      <c r="M21" s="246"/>
      <c r="N21" s="246"/>
      <c r="O21" s="247"/>
      <c r="P21" s="247"/>
      <c r="Q21" s="247"/>
      <c r="R21" s="247" t="s">
        <v>466</v>
      </c>
      <c r="S21" s="247"/>
      <c r="T21" s="255"/>
      <c r="U21" s="255"/>
      <c r="V21" s="255"/>
      <c r="Y21" s="259"/>
      <c r="Z21" s="259"/>
      <c r="AA21" s="259"/>
      <c r="AB21" s="259"/>
      <c r="AC21" s="259"/>
      <c r="AD21" s="259"/>
      <c r="AE21" s="259"/>
      <c r="AF21" s="259"/>
      <c r="AG21" s="259"/>
      <c r="AH21" s="259"/>
      <c r="AI21" s="259"/>
      <c r="AJ21" s="259"/>
      <c r="AK21" s="260"/>
      <c r="AL21" s="260"/>
      <c r="AM21" s="260"/>
      <c r="AN21" s="260"/>
    </row>
    <row r="22" spans="1:40" ht="18" x14ac:dyDescent="0.2">
      <c r="B22" s="246"/>
      <c r="C22" s="252" t="s">
        <v>166</v>
      </c>
      <c r="D22" s="1280" t="s">
        <v>464</v>
      </c>
      <c r="E22" s="1281"/>
      <c r="F22" s="251"/>
      <c r="G22" s="246"/>
      <c r="H22" s="252" t="s">
        <v>167</v>
      </c>
      <c r="I22" s="1280" t="s">
        <v>464</v>
      </c>
      <c r="J22" s="1281"/>
      <c r="K22" s="251"/>
      <c r="M22" s="252" t="s">
        <v>168</v>
      </c>
      <c r="N22" s="1280"/>
      <c r="O22" s="1281"/>
      <c r="P22" s="247"/>
      <c r="Q22" s="247"/>
      <c r="S22" s="305" t="s">
        <v>136</v>
      </c>
      <c r="T22" s="123"/>
      <c r="U22" s="306">
        <v>1</v>
      </c>
      <c r="V22" s="255"/>
      <c r="Y22" s="259"/>
      <c r="Z22" s="259"/>
      <c r="AA22" s="259"/>
      <c r="AB22" s="259"/>
      <c r="AC22" s="259"/>
      <c r="AD22" s="259"/>
      <c r="AE22" s="259"/>
      <c r="AF22" s="259"/>
      <c r="AG22" s="259"/>
      <c r="AH22" s="259"/>
      <c r="AI22" s="259"/>
      <c r="AJ22" s="259"/>
      <c r="AK22" s="260"/>
      <c r="AL22" s="260"/>
      <c r="AM22" s="260"/>
      <c r="AN22" s="260"/>
    </row>
    <row r="23" spans="1:40" ht="18" x14ac:dyDescent="0.2">
      <c r="B23" s="246"/>
      <c r="C23" s="252" t="s">
        <v>169</v>
      </c>
      <c r="D23" s="1280" t="s">
        <v>328</v>
      </c>
      <c r="E23" s="1281"/>
      <c r="F23" s="251"/>
      <c r="G23" s="246"/>
      <c r="H23" s="252" t="s">
        <v>170</v>
      </c>
      <c r="I23" s="1282">
        <f>D24</f>
        <v>2745.1</v>
      </c>
      <c r="J23" s="1283"/>
      <c r="K23" s="251"/>
      <c r="L23" s="246"/>
      <c r="M23" s="252" t="s">
        <v>171</v>
      </c>
      <c r="N23" s="1284">
        <f>I23</f>
        <v>2745.1</v>
      </c>
      <c r="O23" s="1285"/>
      <c r="P23" s="247"/>
      <c r="Q23" s="247"/>
      <c r="R23" s="247"/>
      <c r="S23" s="305" t="s">
        <v>137</v>
      </c>
      <c r="T23" s="123"/>
      <c r="U23" s="307">
        <v>1</v>
      </c>
      <c r="V23" s="255"/>
      <c r="Y23" s="259"/>
      <c r="Z23" s="259"/>
      <c r="AA23" s="259"/>
      <c r="AB23" s="259"/>
      <c r="AC23" s="259"/>
      <c r="AD23" s="259"/>
      <c r="AE23" s="259"/>
      <c r="AF23" s="259"/>
      <c r="AG23" s="259"/>
      <c r="AH23" s="259"/>
      <c r="AI23" s="259"/>
      <c r="AJ23" s="259"/>
      <c r="AK23" s="260"/>
      <c r="AL23" s="260"/>
      <c r="AM23" s="260"/>
      <c r="AN23" s="260"/>
    </row>
    <row r="24" spans="1:40" ht="18.75" thickBot="1" x14ac:dyDescent="0.25">
      <c r="B24" s="246"/>
      <c r="C24" s="252" t="s">
        <v>172</v>
      </c>
      <c r="D24" s="1266">
        <v>2745.1</v>
      </c>
      <c r="E24" s="1267"/>
      <c r="F24" s="251"/>
      <c r="G24" s="246"/>
      <c r="H24" s="252" t="s">
        <v>329</v>
      </c>
      <c r="I24" s="308">
        <f>IFERROR(I23/D24,"-")</f>
        <v>1</v>
      </c>
      <c r="J24" s="309"/>
      <c r="K24" s="251"/>
      <c r="L24" s="246"/>
      <c r="M24" s="252" t="s">
        <v>173</v>
      </c>
      <c r="N24" s="308">
        <f>I23/N23</f>
        <v>1</v>
      </c>
      <c r="O24" s="310"/>
      <c r="P24" s="247"/>
      <c r="Q24" s="247"/>
      <c r="R24" s="247"/>
      <c r="S24" s="311" t="s">
        <v>138</v>
      </c>
      <c r="T24" s="312"/>
      <c r="U24" s="313">
        <f>U22/U23</f>
        <v>1</v>
      </c>
      <c r="V24" s="255"/>
      <c r="Y24" s="259"/>
      <c r="Z24" s="259"/>
      <c r="AA24" s="259"/>
      <c r="AB24" s="259"/>
      <c r="AC24" s="259"/>
      <c r="AD24" s="259"/>
      <c r="AE24" s="259"/>
      <c r="AF24" s="259"/>
      <c r="AG24" s="259"/>
      <c r="AH24" s="259"/>
      <c r="AI24" s="259"/>
      <c r="AJ24" s="259"/>
      <c r="AK24" s="260"/>
      <c r="AL24" s="260"/>
      <c r="AM24" s="260"/>
      <c r="AN24" s="260"/>
    </row>
    <row r="25" spans="1:40" ht="18.75" thickBot="1" x14ac:dyDescent="0.25">
      <c r="B25" s="256"/>
      <c r="C25" s="247"/>
      <c r="D25" s="247"/>
      <c r="E25" s="247"/>
      <c r="F25" s="247"/>
      <c r="G25" s="247"/>
      <c r="H25" s="247"/>
      <c r="I25" s="245"/>
      <c r="J25" s="246"/>
      <c r="K25" s="246"/>
      <c r="L25" s="246"/>
      <c r="M25" s="246"/>
      <c r="N25" s="246"/>
      <c r="O25" s="247"/>
      <c r="P25" s="247"/>
      <c r="Q25" s="247"/>
      <c r="R25" s="247"/>
      <c r="S25" s="247"/>
      <c r="T25" s="255"/>
      <c r="U25" s="255"/>
      <c r="V25" s="255"/>
      <c r="Y25" s="259"/>
      <c r="Z25" s="259"/>
      <c r="AA25" s="259"/>
      <c r="AB25" s="259"/>
      <c r="AC25" s="259"/>
      <c r="AD25" s="259"/>
      <c r="AE25" s="259"/>
      <c r="AF25" s="259"/>
      <c r="AG25" s="259"/>
      <c r="AH25" s="259"/>
      <c r="AI25" s="259"/>
      <c r="AJ25" s="259"/>
      <c r="AK25" s="260"/>
      <c r="AL25" s="260"/>
      <c r="AM25" s="260"/>
      <c r="AN25" s="260"/>
    </row>
    <row r="26" spans="1:40" ht="36.75" customHeight="1" thickBot="1" x14ac:dyDescent="0.25">
      <c r="A26" s="314"/>
      <c r="B26" s="315" t="s">
        <v>174</v>
      </c>
      <c r="C26" s="315"/>
      <c r="D26" s="315"/>
      <c r="E26" s="315"/>
      <c r="F26" s="315"/>
      <c r="G26" s="315"/>
      <c r="H26" s="315"/>
      <c r="I26" s="315"/>
      <c r="J26" s="316"/>
      <c r="K26" s="316"/>
      <c r="L26" s="316"/>
      <c r="M26" s="316"/>
      <c r="N26" s="316"/>
      <c r="O26" s="316"/>
      <c r="P26" s="316"/>
      <c r="Q26" s="317"/>
      <c r="R26" s="259"/>
      <c r="S26" s="259"/>
      <c r="T26" s="259"/>
      <c r="U26" s="259"/>
      <c r="AD26" s="259"/>
      <c r="AE26" s="259"/>
      <c r="AF26" s="259"/>
      <c r="AG26" s="259"/>
      <c r="AH26" s="259"/>
      <c r="AI26" s="259"/>
      <c r="AJ26" s="259"/>
      <c r="AK26" s="260"/>
      <c r="AL26" s="260"/>
      <c r="AM26" s="260"/>
      <c r="AN26" s="260"/>
    </row>
    <row r="27" spans="1:40" ht="14.25" customHeight="1" x14ac:dyDescent="0.2">
      <c r="A27" s="314"/>
      <c r="B27" s="1268" t="s">
        <v>175</v>
      </c>
      <c r="C27" s="1271" t="s">
        <v>176</v>
      </c>
      <c r="D27" s="1272"/>
      <c r="E27" s="1268" t="s">
        <v>288</v>
      </c>
      <c r="F27" s="1277" t="s">
        <v>327</v>
      </c>
      <c r="G27" s="1277" t="s">
        <v>326</v>
      </c>
      <c r="H27" s="1277" t="s">
        <v>386</v>
      </c>
      <c r="I27" s="1286" t="s">
        <v>385</v>
      </c>
      <c r="J27" s="979" t="s">
        <v>415</v>
      </c>
      <c r="K27" s="980"/>
      <c r="L27" s="969" t="s">
        <v>399</v>
      </c>
      <c r="M27" s="970"/>
      <c r="N27" s="970"/>
      <c r="O27" s="970"/>
      <c r="P27" s="970"/>
      <c r="Q27" s="971"/>
      <c r="R27" s="259"/>
      <c r="S27" s="259"/>
      <c r="T27" s="259"/>
      <c r="U27" s="259"/>
      <c r="AD27" s="259"/>
      <c r="AE27" s="259"/>
      <c r="AF27" s="259"/>
      <c r="AG27" s="259"/>
      <c r="AH27" s="259"/>
      <c r="AI27" s="259"/>
      <c r="AJ27" s="259"/>
      <c r="AK27" s="260"/>
      <c r="AL27" s="260"/>
      <c r="AM27" s="260"/>
      <c r="AN27" s="260"/>
    </row>
    <row r="28" spans="1:40" ht="14.25" customHeight="1" thickBot="1" x14ac:dyDescent="0.25">
      <c r="A28" s="314"/>
      <c r="B28" s="1269"/>
      <c r="C28" s="1273"/>
      <c r="D28" s="1274"/>
      <c r="E28" s="1269"/>
      <c r="F28" s="1278"/>
      <c r="G28" s="1278"/>
      <c r="H28" s="1278"/>
      <c r="I28" s="1287"/>
      <c r="J28" s="981" t="s">
        <v>416</v>
      </c>
      <c r="K28" s="948"/>
      <c r="L28" s="961" t="s">
        <v>177</v>
      </c>
      <c r="M28" s="962"/>
      <c r="N28" s="963" t="s">
        <v>178</v>
      </c>
      <c r="O28" s="964"/>
      <c r="P28" s="1190" t="s">
        <v>163</v>
      </c>
      <c r="Q28" s="1191"/>
      <c r="R28" s="259"/>
      <c r="S28" s="259"/>
      <c r="T28" s="259"/>
      <c r="U28" s="259"/>
      <c r="AD28" s="259"/>
      <c r="AE28" s="259"/>
      <c r="AF28" s="259"/>
      <c r="AG28" s="259"/>
      <c r="AH28" s="259"/>
      <c r="AI28" s="259"/>
      <c r="AJ28" s="259"/>
      <c r="AK28" s="260"/>
      <c r="AL28" s="260"/>
      <c r="AM28" s="260"/>
      <c r="AN28" s="260"/>
    </row>
    <row r="29" spans="1:40" ht="38.25" x14ac:dyDescent="0.2">
      <c r="A29" s="314"/>
      <c r="B29" s="1270"/>
      <c r="C29" s="1275"/>
      <c r="D29" s="1276"/>
      <c r="E29" s="1270"/>
      <c r="F29" s="1279"/>
      <c r="G29" s="1279"/>
      <c r="H29" s="1279"/>
      <c r="I29" s="1288"/>
      <c r="J29" s="953" t="s">
        <v>330</v>
      </c>
      <c r="K29" s="337" t="s">
        <v>331</v>
      </c>
      <c r="L29" s="956" t="s">
        <v>179</v>
      </c>
      <c r="M29" s="957" t="s">
        <v>180</v>
      </c>
      <c r="N29" s="958" t="s">
        <v>179</v>
      </c>
      <c r="O29" s="959" t="s">
        <v>181</v>
      </c>
      <c r="P29" s="960" t="s">
        <v>179</v>
      </c>
      <c r="Q29" s="960" t="s">
        <v>335</v>
      </c>
      <c r="R29" s="259"/>
      <c r="S29" s="259"/>
      <c r="T29" s="259"/>
      <c r="U29" s="259"/>
      <c r="AD29" s="259"/>
      <c r="AE29" s="259"/>
      <c r="AF29" s="259"/>
      <c r="AG29" s="259"/>
      <c r="AH29" s="259"/>
      <c r="AI29" s="259"/>
      <c r="AJ29" s="259"/>
      <c r="AK29" s="260"/>
      <c r="AL29" s="260"/>
      <c r="AM29" s="260"/>
      <c r="AN29" s="260"/>
    </row>
    <row r="30" spans="1:40" ht="15" customHeight="1" thickBot="1" x14ac:dyDescent="0.25">
      <c r="A30" s="314"/>
      <c r="B30" s="322"/>
      <c r="C30" s="1200"/>
      <c r="D30" s="1201"/>
      <c r="E30" s="323" t="s">
        <v>64</v>
      </c>
      <c r="F30" s="324" t="s">
        <v>182</v>
      </c>
      <c r="G30" s="324" t="s">
        <v>64</v>
      </c>
      <c r="H30" s="324" t="s">
        <v>183</v>
      </c>
      <c r="I30" s="951" t="s">
        <v>158</v>
      </c>
      <c r="J30" s="954" t="s">
        <v>183</v>
      </c>
      <c r="K30" s="1083" t="s">
        <v>64</v>
      </c>
      <c r="L30" s="780" t="s">
        <v>64</v>
      </c>
      <c r="M30" s="784" t="s">
        <v>183</v>
      </c>
      <c r="N30" s="782" t="s">
        <v>64</v>
      </c>
      <c r="O30" s="785" t="s">
        <v>183</v>
      </c>
      <c r="P30" s="788" t="s">
        <v>64</v>
      </c>
      <c r="Q30" s="788" t="s">
        <v>68</v>
      </c>
      <c r="R30" s="259"/>
      <c r="S30" s="259"/>
      <c r="T30" s="259"/>
      <c r="U30" s="259"/>
      <c r="AD30" s="259"/>
      <c r="AE30" s="259"/>
      <c r="AF30" s="259"/>
      <c r="AG30" s="259"/>
      <c r="AH30" s="259"/>
      <c r="AI30" s="259"/>
      <c r="AJ30" s="259"/>
      <c r="AK30" s="260"/>
      <c r="AL30" s="260"/>
      <c r="AM30" s="260"/>
      <c r="AN30" s="260"/>
    </row>
    <row r="31" spans="1:40" ht="45.6" customHeight="1" x14ac:dyDescent="0.2">
      <c r="A31" s="314"/>
      <c r="B31" s="325" t="s">
        <v>184</v>
      </c>
      <c r="C31" s="1195" t="s">
        <v>185</v>
      </c>
      <c r="D31" s="1196"/>
      <c r="E31" s="424">
        <f>INDEX('Referenčne količine'!$D28:$G28,MATCH(ObračunOB002!$C$3,'Referenčne količine'!$D$6:$G$6))</f>
        <v>69069.233504511591</v>
      </c>
      <c r="F31" s="1208">
        <f>INDEX('Referenčne količine'!$D33:$G33,MATCH(ObračunOB002!$C$3,'Referenčne količine'!$D$6:$G$6))/1000</f>
        <v>0.14275289927463838</v>
      </c>
      <c r="G31" s="977">
        <f>INDEX('Referenčne količine'!$D21:$G21,MATCH(ObračunOB002!$C$3,'Referenčne količine'!$D$6:$G$6))</f>
        <v>98598.333334460243</v>
      </c>
      <c r="H31" s="1211">
        <f>INDEX('Referenčne količine'!$D32:$G32,MATCH(ObračunOB002!$C$3,'Referenčne količine'!$D$6:$G$6))/1000</f>
        <v>9.9999999999999992E-2</v>
      </c>
      <c r="I31" s="1024">
        <f>G31*$H$31</f>
        <v>9859.833333446024</v>
      </c>
      <c r="J31" s="1292" t="e">
        <f ca="1">ROUND(Q35/K35,6)</f>
        <v>#DIV/0!</v>
      </c>
      <c r="K31" s="965" cm="1">
        <f t="array" aca="1" ref="K31" ca="1">ROUND(INDIRECT($C$3&amp;"!J87"),0)</f>
        <v>0</v>
      </c>
      <c r="L31" s="982" cm="1">
        <f t="array" aca="1" ref="L31" ca="1">ROUND(INDIRECT($C$3&amp;"!J84"),0)</f>
        <v>0</v>
      </c>
      <c r="M31" s="1192" cm="1">
        <f t="array" aca="1" ref="M31" ca="1">ROUND(INDIRECT($C$3&amp;"!e62")/1000,6)</f>
        <v>0.16700000000000001</v>
      </c>
      <c r="N31" s="985" cm="1">
        <f t="array" aca="1" ref="N31" ca="1">ROUND(INDIRECT($C$3&amp;"!J83"),0)</f>
        <v>0</v>
      </c>
      <c r="O31" s="1197" cm="1">
        <f t="array" aca="1" ref="O31" ca="1">ROUND(INDIRECT($C$3&amp;"!e61")/1000,6)</f>
        <v>0.1</v>
      </c>
      <c r="P31" s="989">
        <f ca="1">L31+N31</f>
        <v>0</v>
      </c>
      <c r="Q31" s="791">
        <f ca="1">L31*$M$31+N31*$O$31</f>
        <v>0</v>
      </c>
      <c r="R31" s="259"/>
      <c r="S31" s="259"/>
      <c r="T31" s="259"/>
      <c r="U31" s="259"/>
      <c r="AD31" s="259"/>
      <c r="AE31" s="259"/>
      <c r="AF31" s="259"/>
      <c r="AG31" s="259"/>
      <c r="AH31" s="259"/>
      <c r="AI31" s="259"/>
      <c r="AJ31" s="259"/>
      <c r="AK31" s="260"/>
      <c r="AL31" s="260"/>
      <c r="AM31" s="260"/>
      <c r="AN31" s="260"/>
    </row>
    <row r="32" spans="1:40" ht="45.6" customHeight="1" x14ac:dyDescent="0.2">
      <c r="A32" s="314"/>
      <c r="B32" s="325" t="s">
        <v>184</v>
      </c>
      <c r="C32" s="1195" t="s">
        <v>186</v>
      </c>
      <c r="D32" s="1196"/>
      <c r="E32" s="326">
        <f>INDEX('Referenčne količine'!$D29:$G29,MATCH(ObračunOB002!$C$3,'Referenčne količine'!$D$6:$G$6))</f>
        <v>0</v>
      </c>
      <c r="F32" s="1209">
        <f>INDEX('Referenčne količine'!$D29:$G29,MATCH(ObračunOB002!$C$3,'Referenčne količine'!$D$6:$G$6))</f>
        <v>0</v>
      </c>
      <c r="G32" s="327">
        <f>INDEX('Referenčne količine'!$D22:$G22,MATCH(ObračunOB002!$C$3,'Referenčne količine'!$D$6:$G$6))</f>
        <v>0</v>
      </c>
      <c r="H32" s="1212"/>
      <c r="I32" s="1025">
        <f t="shared" ref="I32:I33" si="0">G32*$H$31</f>
        <v>0</v>
      </c>
      <c r="J32" s="1293"/>
      <c r="K32" s="966" cm="1">
        <f t="array" aca="1" ref="K32" ca="1">ROUND(INDIRECT($C$3&amp;"!k87"),0)</f>
        <v>0</v>
      </c>
      <c r="L32" s="983" cm="1">
        <f t="array" aca="1" ref="L32" ca="1">ROUND(INDIRECT($C$3&amp;"!K84"),0)</f>
        <v>0</v>
      </c>
      <c r="M32" s="1193"/>
      <c r="N32" s="986" cm="1">
        <f t="array" aca="1" ref="N32" ca="1">ROUND(INDIRECT($C$3&amp;"!K83"),0)</f>
        <v>0</v>
      </c>
      <c r="O32" s="1198"/>
      <c r="P32" s="990">
        <f t="shared" ref="P32:P33" ca="1" si="1">L32+N32</f>
        <v>0</v>
      </c>
      <c r="Q32" s="792">
        <f ca="1">L32*$M$31+N32*$O$31</f>
        <v>0</v>
      </c>
      <c r="R32" s="329"/>
      <c r="S32" s="329"/>
      <c r="T32" s="329"/>
      <c r="U32" s="329"/>
      <c r="AD32" s="329"/>
      <c r="AE32" s="329"/>
      <c r="AF32" s="329"/>
      <c r="AG32" s="329"/>
      <c r="AH32" s="329"/>
      <c r="AI32" s="329"/>
      <c r="AJ32" s="259"/>
      <c r="AK32" s="260"/>
      <c r="AL32" s="260"/>
      <c r="AM32" s="260"/>
      <c r="AN32" s="260"/>
    </row>
    <row r="33" spans="1:42" ht="45.6" customHeight="1" x14ac:dyDescent="0.2">
      <c r="A33" s="314"/>
      <c r="B33" s="726" t="s">
        <v>187</v>
      </c>
      <c r="C33" s="1195" t="s">
        <v>384</v>
      </c>
      <c r="D33" s="1196"/>
      <c r="E33" s="326">
        <f>INDEX('Referenčne količine'!$D30:$G30,MATCH(ObračunOB002!$C$3,'Referenčne količine'!$D$6:$G$6))</f>
        <v>0</v>
      </c>
      <c r="F33" s="1209">
        <f>INDEX('Referenčne količine'!$D30:$G30,MATCH(ObračunOB002!$C$3,'Referenčne količine'!$D$6:$G$6))</f>
        <v>0</v>
      </c>
      <c r="G33" s="327">
        <f>INDEX('Referenčne količine'!$D23:$G23,MATCH(ObračunOB002!$C$3,'Referenčne količine'!$D$6:$G$6))</f>
        <v>0</v>
      </c>
      <c r="H33" s="1212"/>
      <c r="I33" s="1025">
        <f t="shared" si="0"/>
        <v>0</v>
      </c>
      <c r="J33" s="1293"/>
      <c r="K33" s="966" cm="1">
        <f t="array" aca="1" ref="K33" ca="1">ROUND(INDIRECT($C$3&amp;"!L87"),0)</f>
        <v>0</v>
      </c>
      <c r="L33" s="983" cm="1">
        <f t="array" aca="1" ref="L33" ca="1">ROUND(INDIRECT($C$3&amp;"!L84"),0)</f>
        <v>0</v>
      </c>
      <c r="M33" s="1193"/>
      <c r="N33" s="986" cm="1">
        <f t="array" aca="1" ref="N33" ca="1">ROUND(INDIRECT($C$3&amp;"!L83"),0)</f>
        <v>0</v>
      </c>
      <c r="O33" s="1198"/>
      <c r="P33" s="990">
        <f t="shared" ca="1" si="1"/>
        <v>0</v>
      </c>
      <c r="Q33" s="792">
        <f ca="1">L33*$M$31+N33*$O$31</f>
        <v>0</v>
      </c>
      <c r="R33" s="259"/>
      <c r="S33" s="259"/>
      <c r="T33" s="259"/>
      <c r="U33" s="259"/>
      <c r="AD33" s="259"/>
      <c r="AE33" s="259"/>
      <c r="AF33" s="259"/>
      <c r="AG33" s="259"/>
      <c r="AH33" s="259"/>
      <c r="AI33" s="259"/>
      <c r="AJ33" s="259"/>
      <c r="AK33" s="260"/>
      <c r="AL33" s="260"/>
      <c r="AM33" s="260"/>
      <c r="AN33" s="260"/>
    </row>
    <row r="34" spans="1:42" ht="45.6" customHeight="1" thickBot="1" x14ac:dyDescent="0.25">
      <c r="A34" s="314"/>
      <c r="B34" s="725"/>
      <c r="C34" s="1206"/>
      <c r="D34" s="1207"/>
      <c r="E34" s="724"/>
      <c r="F34" s="1210">
        <f>INDEX('Referenčne količine'!$D31:$G31,MATCH(ObračunOB002!$C$3,'Referenčne količine'!$D$6:$G$6))</f>
        <v>0</v>
      </c>
      <c r="G34" s="978"/>
      <c r="H34" s="1213"/>
      <c r="I34" s="1026"/>
      <c r="J34" s="1294"/>
      <c r="K34" s="967"/>
      <c r="L34" s="984"/>
      <c r="M34" s="1194"/>
      <c r="N34" s="987"/>
      <c r="O34" s="1199"/>
      <c r="P34" s="991"/>
      <c r="Q34" s="793"/>
      <c r="R34" s="259"/>
      <c r="S34" s="259"/>
      <c r="T34" s="259"/>
      <c r="U34" s="259"/>
      <c r="AD34" s="259"/>
      <c r="AE34" s="259"/>
      <c r="AF34" s="259"/>
      <c r="AG34" s="259"/>
      <c r="AH34" s="259"/>
      <c r="AI34" s="259"/>
      <c r="AJ34" s="259"/>
      <c r="AK34" s="260"/>
      <c r="AL34" s="260"/>
      <c r="AM34" s="260"/>
      <c r="AN34" s="260"/>
    </row>
    <row r="35" spans="1:42" ht="34.5" customHeight="1" thickBot="1" x14ac:dyDescent="0.25">
      <c r="A35" s="314"/>
      <c r="B35" s="1203" t="s">
        <v>163</v>
      </c>
      <c r="C35" s="1204"/>
      <c r="D35" s="1205"/>
      <c r="E35" s="330">
        <f>SUM(E31:E34)</f>
        <v>69069.233504511591</v>
      </c>
      <c r="F35" s="331"/>
      <c r="G35" s="332">
        <f>SUM(G31:G34)</f>
        <v>98598.333334460243</v>
      </c>
      <c r="H35" s="333"/>
      <c r="I35" s="952">
        <f>SUM(I31:I34)</f>
        <v>9859.833333446024</v>
      </c>
      <c r="J35" s="955"/>
      <c r="K35" s="968">
        <f ca="1">SUM(K31:K34)</f>
        <v>0</v>
      </c>
      <c r="L35" s="781">
        <f ca="1">SUM(L31:L34)</f>
        <v>0</v>
      </c>
      <c r="M35" s="786"/>
      <c r="N35" s="988">
        <f ca="1">SUM(N31:N34)</f>
        <v>0</v>
      </c>
      <c r="O35" s="787"/>
      <c r="P35" s="789">
        <f ca="1">SUM(P31:P34)</f>
        <v>0</v>
      </c>
      <c r="Q35" s="790">
        <f ca="1">SUM(Q31:Q34)</f>
        <v>0</v>
      </c>
      <c r="R35" s="259"/>
      <c r="S35" s="259"/>
      <c r="T35" s="259"/>
      <c r="U35" s="259"/>
      <c r="AD35" s="259"/>
      <c r="AE35" s="259"/>
      <c r="AF35" s="259"/>
      <c r="AG35" s="259"/>
      <c r="AH35" s="259"/>
      <c r="AI35" s="259"/>
      <c r="AJ35" s="259"/>
      <c r="AK35" s="260"/>
      <c r="AL35" s="260"/>
      <c r="AM35" s="260"/>
      <c r="AN35" s="260"/>
    </row>
    <row r="36" spans="1:42" ht="18.75" thickBot="1" x14ac:dyDescent="0.25">
      <c r="B36" s="256"/>
      <c r="C36" s="247"/>
      <c r="D36" s="247"/>
      <c r="E36" s="247"/>
      <c r="F36" s="247"/>
      <c r="G36" s="247"/>
      <c r="H36" s="247"/>
      <c r="I36" s="245"/>
      <c r="J36" s="246"/>
      <c r="K36" s="246"/>
      <c r="L36" s="246"/>
      <c r="M36" s="246"/>
      <c r="N36" s="246"/>
      <c r="O36" s="247"/>
      <c r="P36" s="247"/>
      <c r="Q36" s="247"/>
      <c r="R36" s="247"/>
      <c r="S36" s="247"/>
      <c r="T36" s="255"/>
      <c r="U36" s="255"/>
      <c r="V36" s="255"/>
      <c r="Y36" s="259"/>
      <c r="Z36" s="259"/>
      <c r="AA36" s="259"/>
      <c r="AB36" s="259"/>
      <c r="AC36" s="259"/>
      <c r="AD36" s="259"/>
      <c r="AE36" s="259"/>
      <c r="AF36" s="259"/>
      <c r="AG36" s="259"/>
      <c r="AH36" s="259"/>
      <c r="AI36" s="259"/>
      <c r="AJ36" s="259"/>
      <c r="AK36" s="260"/>
      <c r="AL36" s="260"/>
      <c r="AM36" s="260"/>
      <c r="AN36" s="260"/>
    </row>
    <row r="37" spans="1:42" ht="18" customHeight="1" thickBot="1" x14ac:dyDescent="0.25">
      <c r="A37" s="314"/>
      <c r="B37" s="1307" t="s">
        <v>175</v>
      </c>
      <c r="C37" s="1271" t="s">
        <v>176</v>
      </c>
      <c r="D37" s="1272"/>
      <c r="E37" s="748" t="s">
        <v>417</v>
      </c>
      <c r="F37" s="949"/>
      <c r="G37" s="949"/>
      <c r="H37" s="949"/>
      <c r="I37" s="949"/>
      <c r="J37" s="949"/>
      <c r="K37" s="949"/>
      <c r="L37" s="949"/>
      <c r="M37" s="950"/>
      <c r="S37" s="255"/>
      <c r="T37" s="255"/>
      <c r="U37" s="255"/>
      <c r="V37" s="255"/>
      <c r="Y37" s="259"/>
      <c r="Z37" s="259"/>
      <c r="AA37" s="259"/>
      <c r="AB37" s="259"/>
      <c r="AC37" s="259"/>
      <c r="AD37" s="259"/>
      <c r="AE37" s="259"/>
      <c r="AF37" s="259"/>
      <c r="AG37" s="259"/>
      <c r="AH37" s="259"/>
      <c r="AI37" s="259"/>
      <c r="AJ37" s="259"/>
      <c r="AK37" s="260"/>
      <c r="AL37" s="260"/>
      <c r="AM37" s="260"/>
      <c r="AN37" s="260"/>
    </row>
    <row r="38" spans="1:42" ht="38.25" x14ac:dyDescent="0.2">
      <c r="A38" s="314"/>
      <c r="B38" s="1308"/>
      <c r="C38" s="1275"/>
      <c r="D38" s="1276"/>
      <c r="E38" s="338" t="s">
        <v>400</v>
      </c>
      <c r="F38" s="336" t="s">
        <v>401</v>
      </c>
      <c r="G38" s="337" t="s">
        <v>402</v>
      </c>
      <c r="H38" s="338" t="s">
        <v>190</v>
      </c>
      <c r="I38" s="336" t="s">
        <v>191</v>
      </c>
      <c r="J38" s="339" t="s">
        <v>192</v>
      </c>
      <c r="K38" s="340" t="s">
        <v>193</v>
      </c>
      <c r="L38" s="337" t="s">
        <v>194</v>
      </c>
      <c r="M38" s="341" t="s">
        <v>195</v>
      </c>
      <c r="S38" s="255"/>
      <c r="T38" s="255"/>
      <c r="U38" s="255"/>
      <c r="V38" s="255"/>
      <c r="W38" s="255"/>
      <c r="X38" s="255"/>
      <c r="AJ38" s="259"/>
      <c r="AK38" s="259"/>
      <c r="AL38" s="259"/>
      <c r="AM38" s="260"/>
      <c r="AN38" s="260"/>
      <c r="AO38" s="260"/>
      <c r="AP38" s="260"/>
    </row>
    <row r="39" spans="1:42" ht="18.75" thickBot="1" x14ac:dyDescent="0.25">
      <c r="A39" s="314"/>
      <c r="B39" s="322"/>
      <c r="C39" s="1200"/>
      <c r="D39" s="1201"/>
      <c r="E39" s="323" t="s">
        <v>64</v>
      </c>
      <c r="F39" s="324" t="s">
        <v>64</v>
      </c>
      <c r="G39" s="562" t="s">
        <v>64</v>
      </c>
      <c r="H39" s="323" t="s">
        <v>64</v>
      </c>
      <c r="I39" s="324" t="s">
        <v>64</v>
      </c>
      <c r="J39" s="344" t="s">
        <v>64</v>
      </c>
      <c r="K39" s="322" t="s">
        <v>158</v>
      </c>
      <c r="L39" s="732" t="s">
        <v>158</v>
      </c>
      <c r="M39" s="345" t="s">
        <v>158</v>
      </c>
      <c r="S39" s="255"/>
      <c r="T39" s="255"/>
      <c r="U39" s="255"/>
      <c r="V39" s="255"/>
      <c r="W39" s="255"/>
      <c r="X39" s="255"/>
      <c r="Y39" s="346"/>
      <c r="Z39" s="346"/>
      <c r="AA39" s="346"/>
      <c r="AB39" s="346"/>
      <c r="AC39" s="346"/>
      <c r="AD39" s="346"/>
      <c r="AE39" s="346"/>
      <c r="AF39" s="346"/>
      <c r="AG39" s="346"/>
      <c r="AH39" s="346"/>
      <c r="AI39" s="346"/>
      <c r="AJ39" s="347"/>
      <c r="AK39" s="347"/>
      <c r="AL39" s="347"/>
      <c r="AM39" s="260"/>
      <c r="AN39" s="260"/>
      <c r="AO39" s="260"/>
      <c r="AP39" s="260"/>
    </row>
    <row r="40" spans="1:42" ht="39.75" customHeight="1" x14ac:dyDescent="0.2">
      <c r="A40" s="314"/>
      <c r="B40" s="726" t="s">
        <v>184</v>
      </c>
      <c r="C40" s="1195" t="s">
        <v>185</v>
      </c>
      <c r="D40" s="1202"/>
      <c r="E40" s="1003">
        <f ca="1">E31-K31</f>
        <v>69069.233504511591</v>
      </c>
      <c r="F40" s="1004" t="s">
        <v>135</v>
      </c>
      <c r="G40" s="1014">
        <f ca="1">SUM(E40:F40)</f>
        <v>69069.233504511591</v>
      </c>
      <c r="H40" s="1003">
        <f ca="1">G31-P31</f>
        <v>98598.333334460243</v>
      </c>
      <c r="I40" s="1004" t="s">
        <v>135</v>
      </c>
      <c r="J40" s="1015">
        <f ca="1">SUM(H40:I40)</f>
        <v>98598.333334460243</v>
      </c>
      <c r="K40" s="564">
        <f ca="1">I31-Q31</f>
        <v>9859.833333446024</v>
      </c>
      <c r="L40" s="972" t="s">
        <v>135</v>
      </c>
      <c r="M40" s="349">
        <f ca="1">SUM(K40:L40)</f>
        <v>9859.833333446024</v>
      </c>
      <c r="S40" s="255"/>
      <c r="T40" s="255"/>
      <c r="U40" s="255"/>
      <c r="V40" s="255"/>
      <c r="W40" s="255"/>
      <c r="X40" s="255"/>
      <c r="Y40" s="350"/>
      <c r="AJ40" s="351"/>
      <c r="AK40" s="259"/>
      <c r="AL40" s="352"/>
      <c r="AM40" s="353"/>
      <c r="AN40" s="260"/>
      <c r="AO40" s="260"/>
      <c r="AP40" s="260"/>
    </row>
    <row r="41" spans="1:42" ht="39.75" customHeight="1" x14ac:dyDescent="0.2">
      <c r="A41" s="314"/>
      <c r="B41" s="726" t="s">
        <v>184</v>
      </c>
      <c r="C41" s="1195" t="s">
        <v>186</v>
      </c>
      <c r="D41" s="1202"/>
      <c r="E41" s="1005">
        <f ca="1">E32-K32</f>
        <v>0</v>
      </c>
      <c r="F41" s="1006" t="s">
        <v>135</v>
      </c>
      <c r="G41" s="1008">
        <f ca="1">SUM(E41:F41)</f>
        <v>0</v>
      </c>
      <c r="H41" s="1005">
        <f ca="1">G32-P32</f>
        <v>0</v>
      </c>
      <c r="I41" s="1006" t="s">
        <v>135</v>
      </c>
      <c r="J41" s="1016">
        <f ca="1">SUM(H41:I41)</f>
        <v>0</v>
      </c>
      <c r="K41" s="565">
        <f ca="1">I32-Q32</f>
        <v>0</v>
      </c>
      <c r="L41" s="973" t="s">
        <v>135</v>
      </c>
      <c r="M41" s="355">
        <f ca="1">SUM(K41:L41)</f>
        <v>0</v>
      </c>
      <c r="S41" s="255"/>
      <c r="T41" s="255"/>
      <c r="U41" s="255"/>
      <c r="V41" s="255"/>
      <c r="W41" s="255"/>
      <c r="X41" s="255"/>
      <c r="Y41" s="350"/>
      <c r="Z41" s="350"/>
      <c r="AA41" s="350"/>
      <c r="AB41" s="350"/>
      <c r="AC41" s="350"/>
      <c r="AD41" s="350"/>
      <c r="AE41" s="350"/>
      <c r="AF41" s="350"/>
      <c r="AG41" s="350"/>
      <c r="AH41" s="350"/>
      <c r="AI41" s="350"/>
      <c r="AJ41" s="351"/>
      <c r="AK41" s="259"/>
      <c r="AL41" s="352"/>
      <c r="AM41" s="353"/>
      <c r="AN41" s="260"/>
      <c r="AO41" s="260"/>
      <c r="AP41" s="260"/>
    </row>
    <row r="42" spans="1:42" ht="39.75" customHeight="1" x14ac:dyDescent="0.2">
      <c r="A42" s="314"/>
      <c r="B42" s="726" t="s">
        <v>187</v>
      </c>
      <c r="C42" s="1195" t="s">
        <v>384</v>
      </c>
      <c r="D42" s="1196"/>
      <c r="E42" s="1007" t="s">
        <v>135</v>
      </c>
      <c r="F42" s="1017">
        <f ca="1">E33-K33</f>
        <v>0</v>
      </c>
      <c r="G42" s="1008">
        <f ca="1">SUM(E42:F42)</f>
        <v>0</v>
      </c>
      <c r="H42" s="1007" t="s">
        <v>135</v>
      </c>
      <c r="I42" s="731">
        <f ca="1">G33-P33</f>
        <v>0</v>
      </c>
      <c r="J42" s="1016">
        <f ca="1">SUM(H42:I42)</f>
        <v>0</v>
      </c>
      <c r="K42" s="752" t="s">
        <v>135</v>
      </c>
      <c r="L42" s="974">
        <f ca="1">I33-Q33</f>
        <v>0</v>
      </c>
      <c r="M42" s="581">
        <f ca="1">ROUND(SUM(K42:L42),2)</f>
        <v>0</v>
      </c>
      <c r="S42" s="255"/>
      <c r="T42" s="255"/>
      <c r="U42" s="255"/>
      <c r="V42" s="255"/>
      <c r="W42" s="255"/>
      <c r="X42" s="255"/>
      <c r="Y42" s="350"/>
      <c r="AJ42" s="351"/>
      <c r="AK42" s="357"/>
      <c r="AL42" s="352"/>
      <c r="AM42" s="353"/>
      <c r="AN42" s="260"/>
      <c r="AO42" s="260"/>
      <c r="AP42" s="260"/>
    </row>
    <row r="43" spans="1:42" ht="39.75" customHeight="1" thickBot="1" x14ac:dyDescent="0.25">
      <c r="A43" s="314"/>
      <c r="B43" s="725"/>
      <c r="C43" s="1206"/>
      <c r="D43" s="1291"/>
      <c r="E43" s="1009"/>
      <c r="F43" s="1018"/>
      <c r="G43" s="1010"/>
      <c r="H43" s="1009"/>
      <c r="I43" s="383"/>
      <c r="J43" s="1019"/>
      <c r="K43" s="753"/>
      <c r="L43" s="975"/>
      <c r="M43" s="976"/>
      <c r="S43" s="255"/>
      <c r="T43" s="255"/>
      <c r="U43" s="255"/>
      <c r="V43" s="255"/>
      <c r="W43" s="255"/>
      <c r="X43" s="255"/>
      <c r="Y43" s="350"/>
      <c r="AJ43" s="351"/>
      <c r="AK43" s="357"/>
      <c r="AL43" s="352"/>
      <c r="AM43" s="353"/>
      <c r="AN43" s="260"/>
      <c r="AO43" s="260"/>
      <c r="AP43" s="260"/>
    </row>
    <row r="44" spans="1:42" ht="40.5" customHeight="1" thickBot="1" x14ac:dyDescent="0.25">
      <c r="A44" s="314"/>
      <c r="B44" s="1203" t="s">
        <v>163</v>
      </c>
      <c r="C44" s="1204"/>
      <c r="D44" s="1205"/>
      <c r="E44" s="1020">
        <f t="shared" ref="E44:M44" ca="1" si="2">SUM(E40:E43)</f>
        <v>69069.233504511591</v>
      </c>
      <c r="F44" s="1021">
        <f t="shared" ca="1" si="2"/>
        <v>0</v>
      </c>
      <c r="G44" s="1022">
        <f t="shared" ca="1" si="2"/>
        <v>69069.233504511591</v>
      </c>
      <c r="H44" s="1020">
        <f t="shared" ca="1" si="2"/>
        <v>98598.333334460243</v>
      </c>
      <c r="I44" s="1021">
        <f t="shared" ca="1" si="2"/>
        <v>0</v>
      </c>
      <c r="J44" s="1023">
        <f t="shared" ca="1" si="2"/>
        <v>98598.333334460243</v>
      </c>
      <c r="K44" s="563">
        <f t="shared" ca="1" si="2"/>
        <v>9859.833333446024</v>
      </c>
      <c r="L44" s="477">
        <f t="shared" ca="1" si="2"/>
        <v>0</v>
      </c>
      <c r="M44" s="996">
        <f t="shared" ca="1" si="2"/>
        <v>9859.833333446024</v>
      </c>
      <c r="S44" s="255"/>
      <c r="T44" s="255"/>
      <c r="U44" s="255"/>
      <c r="V44" s="255"/>
      <c r="W44" s="255"/>
      <c r="X44" s="255"/>
      <c r="Y44" s="350"/>
      <c r="AJ44" s="350"/>
      <c r="AK44" s="259"/>
      <c r="AL44" s="352"/>
      <c r="AM44" s="353"/>
      <c r="AN44" s="260"/>
      <c r="AO44" s="260"/>
      <c r="AP44" s="260"/>
    </row>
    <row r="45" spans="1:42" ht="18" x14ac:dyDescent="0.2">
      <c r="B45" s="256"/>
      <c r="C45" s="247"/>
      <c r="D45" s="247"/>
      <c r="E45" s="247"/>
      <c r="F45" s="247"/>
      <c r="G45" s="247"/>
      <c r="H45" s="247"/>
      <c r="I45" s="247"/>
      <c r="J45" s="247"/>
      <c r="K45" s="247"/>
      <c r="L45" s="247"/>
      <c r="M45" s="247"/>
      <c r="N45" s="247"/>
      <c r="O45" s="247"/>
      <c r="P45" s="247"/>
      <c r="Q45" s="247"/>
      <c r="R45" s="255"/>
      <c r="S45" s="255"/>
      <c r="V45" s="255"/>
      <c r="Y45" s="357"/>
      <c r="Z45" s="259"/>
      <c r="AA45" s="259"/>
      <c r="AB45" s="259"/>
      <c r="AC45" s="259"/>
      <c r="AD45" s="259"/>
      <c r="AE45" s="259"/>
      <c r="AF45" s="259"/>
      <c r="AG45" s="259"/>
      <c r="AH45" s="259"/>
      <c r="AI45" s="259"/>
      <c r="AJ45" s="259"/>
      <c r="AK45" s="260"/>
      <c r="AL45" s="260"/>
      <c r="AM45" s="260"/>
      <c r="AN45" s="260"/>
    </row>
    <row r="46" spans="1:42" ht="18.75" thickBot="1" x14ac:dyDescent="0.25">
      <c r="B46" s="257" t="s">
        <v>196</v>
      </c>
      <c r="C46" s="247"/>
      <c r="D46" s="247"/>
      <c r="E46" s="247"/>
      <c r="F46" s="360"/>
      <c r="G46" s="247"/>
      <c r="H46" s="247"/>
      <c r="I46" s="245"/>
      <c r="J46" s="246"/>
      <c r="K46" s="246"/>
      <c r="L46" s="246"/>
      <c r="M46" s="246"/>
      <c r="N46" s="246"/>
      <c r="O46" s="247"/>
      <c r="P46" s="247"/>
      <c r="Q46" s="247"/>
      <c r="R46" s="247"/>
      <c r="S46" s="247"/>
      <c r="T46" s="255"/>
      <c r="U46" s="255"/>
      <c r="V46" s="255"/>
      <c r="Y46" s="259"/>
      <c r="Z46" s="357"/>
      <c r="AA46" s="357"/>
      <c r="AB46" s="357"/>
      <c r="AC46" s="357"/>
      <c r="AD46" s="357"/>
      <c r="AE46" s="357"/>
      <c r="AF46" s="357"/>
      <c r="AG46" s="357"/>
      <c r="AH46" s="357"/>
      <c r="AI46" s="357"/>
      <c r="AJ46" s="357"/>
      <c r="AK46" s="260"/>
      <c r="AL46" s="260"/>
      <c r="AM46" s="260"/>
      <c r="AN46" s="260"/>
    </row>
    <row r="47" spans="1:42" ht="36.75" customHeight="1" thickBot="1" x14ac:dyDescent="0.25">
      <c r="B47" s="361" t="s">
        <v>197</v>
      </c>
      <c r="C47" s="316"/>
      <c r="D47" s="316"/>
      <c r="E47" s="316"/>
      <c r="F47" s="316"/>
      <c r="G47" s="316"/>
      <c r="H47" s="316"/>
      <c r="I47" s="316"/>
      <c r="J47" s="316"/>
      <c r="K47" s="316"/>
      <c r="L47" s="316"/>
      <c r="M47" s="316"/>
      <c r="N47" s="316"/>
      <c r="O47" s="316"/>
      <c r="P47" s="316"/>
      <c r="Q47" s="317"/>
      <c r="R47" s="259"/>
      <c r="S47" s="259"/>
      <c r="T47" s="259"/>
      <c r="U47" s="259"/>
      <c r="AD47" s="259"/>
      <c r="AE47" s="259"/>
      <c r="AF47" s="259"/>
      <c r="AG47" s="259"/>
      <c r="AH47" s="259"/>
      <c r="AI47" s="259"/>
      <c r="AJ47" s="259"/>
      <c r="AK47" s="260"/>
      <c r="AL47" s="260"/>
      <c r="AM47" s="260"/>
      <c r="AN47" s="260"/>
    </row>
    <row r="48" spans="1:42" ht="45" customHeight="1" x14ac:dyDescent="0.2">
      <c r="B48" s="1269" t="s">
        <v>198</v>
      </c>
      <c r="C48" s="1278" t="s">
        <v>176</v>
      </c>
      <c r="D48" s="1301" t="s">
        <v>387</v>
      </c>
      <c r="E48" s="1268" t="s">
        <v>288</v>
      </c>
      <c r="F48" s="1277" t="s">
        <v>327</v>
      </c>
      <c r="G48" s="1277" t="s">
        <v>326</v>
      </c>
      <c r="H48" s="1277" t="s">
        <v>386</v>
      </c>
      <c r="I48" s="1302" t="s">
        <v>385</v>
      </c>
      <c r="J48" s="979" t="s">
        <v>415</v>
      </c>
      <c r="K48" s="980"/>
      <c r="L48" s="749" t="s">
        <v>334</v>
      </c>
      <c r="M48" s="750"/>
      <c r="N48" s="750"/>
      <c r="O48" s="750"/>
      <c r="P48" s="751"/>
      <c r="Q48" s="751"/>
      <c r="R48" s="259"/>
      <c r="S48" s="259"/>
      <c r="T48" s="259"/>
      <c r="U48" s="259"/>
      <c r="AD48" s="259"/>
      <c r="AE48" s="259"/>
      <c r="AF48" s="259"/>
      <c r="AG48" s="259"/>
      <c r="AH48" s="259"/>
      <c r="AI48" s="259"/>
      <c r="AJ48" s="259"/>
      <c r="AK48" s="260"/>
      <c r="AL48" s="260"/>
      <c r="AM48" s="260"/>
      <c r="AN48" s="260"/>
    </row>
    <row r="49" spans="2:42" ht="30" customHeight="1" thickBot="1" x14ac:dyDescent="0.25">
      <c r="B49" s="1269"/>
      <c r="C49" s="1278"/>
      <c r="D49" s="1301"/>
      <c r="E49" s="1269"/>
      <c r="F49" s="1278"/>
      <c r="G49" s="1278"/>
      <c r="H49" s="1278"/>
      <c r="I49" s="1303"/>
      <c r="J49" s="981" t="s">
        <v>416</v>
      </c>
      <c r="K49" s="948"/>
      <c r="L49" s="1305" t="s">
        <v>177</v>
      </c>
      <c r="M49" s="1306"/>
      <c r="N49" s="719" t="s">
        <v>178</v>
      </c>
      <c r="O49" s="992"/>
      <c r="P49" s="929" t="s">
        <v>163</v>
      </c>
      <c r="Q49" s="929"/>
      <c r="R49" s="259"/>
      <c r="S49" s="259"/>
      <c r="T49" s="259"/>
      <c r="U49" s="259"/>
      <c r="AD49" s="259"/>
      <c r="AE49" s="259"/>
      <c r="AF49" s="259"/>
      <c r="AG49" s="259"/>
      <c r="AH49" s="259"/>
      <c r="AI49" s="259"/>
      <c r="AJ49" s="259"/>
      <c r="AK49" s="260"/>
      <c r="AL49" s="260"/>
      <c r="AM49" s="260"/>
      <c r="AN49" s="260"/>
    </row>
    <row r="50" spans="2:42" ht="65.25" customHeight="1" x14ac:dyDescent="0.2">
      <c r="B50" s="1270"/>
      <c r="C50" s="1279"/>
      <c r="D50" s="1290"/>
      <c r="E50" s="1270"/>
      <c r="F50" s="1279"/>
      <c r="G50" s="1279"/>
      <c r="H50" s="1279"/>
      <c r="I50" s="1304"/>
      <c r="J50" s="953" t="s">
        <v>330</v>
      </c>
      <c r="K50" s="337" t="s">
        <v>331</v>
      </c>
      <c r="L50" s="319" t="s">
        <v>179</v>
      </c>
      <c r="M50" s="320" t="s">
        <v>180</v>
      </c>
      <c r="N50" s="321" t="s">
        <v>179</v>
      </c>
      <c r="O50" s="321" t="s">
        <v>181</v>
      </c>
      <c r="P50" s="930" t="s">
        <v>179</v>
      </c>
      <c r="Q50" s="339" t="s">
        <v>189</v>
      </c>
      <c r="R50" s="259"/>
      <c r="S50" s="259"/>
      <c r="T50" s="259"/>
      <c r="U50" s="259"/>
      <c r="AD50" s="259"/>
      <c r="AE50" s="259"/>
      <c r="AF50" s="259"/>
      <c r="AG50" s="259"/>
      <c r="AH50" s="259"/>
      <c r="AI50" s="259"/>
      <c r="AJ50" s="259"/>
      <c r="AK50" s="260"/>
      <c r="AL50" s="260"/>
      <c r="AM50" s="260"/>
      <c r="AN50" s="260"/>
    </row>
    <row r="51" spans="2:42" ht="15" customHeight="1" thickBot="1" x14ac:dyDescent="0.25">
      <c r="B51" s="362"/>
      <c r="C51" s="1085"/>
      <c r="D51" s="322"/>
      <c r="E51" s="342" t="s">
        <v>64</v>
      </c>
      <c r="F51" s="343" t="s">
        <v>182</v>
      </c>
      <c r="G51" s="343" t="s">
        <v>64</v>
      </c>
      <c r="H51" s="343" t="s">
        <v>183</v>
      </c>
      <c r="I51" s="418" t="s">
        <v>158</v>
      </c>
      <c r="J51" s="954" t="s">
        <v>183</v>
      </c>
      <c r="K51" s="1083" t="s">
        <v>64</v>
      </c>
      <c r="L51" s="780" t="s">
        <v>64</v>
      </c>
      <c r="M51" s="784" t="s">
        <v>183</v>
      </c>
      <c r="N51" s="782" t="s">
        <v>64</v>
      </c>
      <c r="O51" s="782" t="s">
        <v>183</v>
      </c>
      <c r="P51" s="931" t="s">
        <v>64</v>
      </c>
      <c r="Q51" s="375" t="s">
        <v>158</v>
      </c>
      <c r="R51" s="259"/>
      <c r="S51" s="259"/>
      <c r="T51" s="259"/>
      <c r="U51" s="259"/>
      <c r="AD51" s="259"/>
      <c r="AE51" s="259"/>
      <c r="AF51" s="259"/>
      <c r="AG51" s="259"/>
      <c r="AH51" s="259"/>
      <c r="AI51" s="259"/>
      <c r="AJ51" s="259"/>
      <c r="AK51" s="260"/>
      <c r="AL51" s="260"/>
      <c r="AM51" s="260"/>
      <c r="AN51" s="260"/>
    </row>
    <row r="52" spans="2:42" ht="45.6" customHeight="1" x14ac:dyDescent="0.2">
      <c r="B52" s="364" t="s">
        <v>184</v>
      </c>
      <c r="C52" s="365" t="str">
        <f>C31</f>
        <v>OGREVANJE</v>
      </c>
      <c r="D52" s="366">
        <v>1</v>
      </c>
      <c r="E52" s="367">
        <f>ROUND(E31*D52,0)</f>
        <v>69069</v>
      </c>
      <c r="F52" s="1295">
        <f>$F$31</f>
        <v>0.14275289927463838</v>
      </c>
      <c r="G52" s="368">
        <f>ROUND(G31*D52,0)</f>
        <v>98598</v>
      </c>
      <c r="H52" s="1295">
        <f>ROUND(H31,6)</f>
        <v>0.1</v>
      </c>
      <c r="I52" s="794">
        <f>ROUND(G52*$H$52,2)</f>
        <v>9859.7999999999993</v>
      </c>
      <c r="J52" s="1292" t="e">
        <f ca="1">ROUND(Q56/K56,6)</f>
        <v>#DIV/0!</v>
      </c>
      <c r="K52" s="993">
        <f ca="1">K31*D52</f>
        <v>0</v>
      </c>
      <c r="L52" s="797">
        <f ca="1">ROUND(L31*D52,0)</f>
        <v>0</v>
      </c>
      <c r="M52" s="1298">
        <f ca="1">ROUND(M31,6)</f>
        <v>0.16700000000000001</v>
      </c>
      <c r="N52" s="798">
        <f ca="1">ROUND(N31*D52,0)</f>
        <v>0</v>
      </c>
      <c r="O52" s="1298">
        <f ca="1">ROUND(O31,6)</f>
        <v>0.1</v>
      </c>
      <c r="P52" s="932">
        <f ca="1">L52+N52</f>
        <v>0</v>
      </c>
      <c r="Q52" s="348">
        <f ca="1">L52*$M$31+N52*$O$31</f>
        <v>0</v>
      </c>
      <c r="R52" s="259"/>
      <c r="S52" s="259"/>
      <c r="T52" s="259"/>
      <c r="U52" s="259"/>
      <c r="AD52" s="259"/>
      <c r="AE52" s="259"/>
      <c r="AF52" s="259"/>
      <c r="AG52" s="259"/>
      <c r="AH52" s="259"/>
      <c r="AI52" s="259"/>
      <c r="AJ52" s="259"/>
      <c r="AK52" s="260"/>
      <c r="AL52" s="260"/>
      <c r="AM52" s="260"/>
      <c r="AN52" s="260"/>
    </row>
    <row r="53" spans="2:42" ht="45.6" customHeight="1" x14ac:dyDescent="0.2">
      <c r="B53" s="364" t="s">
        <v>184</v>
      </c>
      <c r="C53" s="365" t="str">
        <f>C32</f>
        <v>SANITARNA TOPLA VODA</v>
      </c>
      <c r="D53" s="366">
        <f>D52</f>
        <v>1</v>
      </c>
      <c r="E53" s="566">
        <f>ROUND(E32*D53,0)</f>
        <v>0</v>
      </c>
      <c r="F53" s="1296"/>
      <c r="G53" s="478">
        <f>ROUND(G32*D53,0)</f>
        <v>0</v>
      </c>
      <c r="H53" s="1296"/>
      <c r="I53" s="795">
        <f t="shared" ref="I53:I54" si="3">ROUND(G53*$H$52,2)</f>
        <v>0</v>
      </c>
      <c r="J53" s="1293"/>
      <c r="K53" s="994">
        <f t="shared" ref="K53:K54" ca="1" si="4">K32*D53</f>
        <v>0</v>
      </c>
      <c r="L53" s="799">
        <f ca="1">ROUND(L32*D53,0)</f>
        <v>0</v>
      </c>
      <c r="M53" s="1299"/>
      <c r="N53" s="729">
        <f ca="1">ROUND(N32*D53,0)</f>
        <v>0</v>
      </c>
      <c r="O53" s="1299"/>
      <c r="P53" s="933">
        <f ca="1">L53+N53</f>
        <v>0</v>
      </c>
      <c r="Q53" s="380">
        <f t="shared" ref="Q53:Q54" ca="1" si="5">L53*$M$31+N53*$O$31</f>
        <v>0</v>
      </c>
      <c r="R53" s="259"/>
      <c r="S53" s="259"/>
      <c r="T53" s="259"/>
      <c r="U53" s="259"/>
      <c r="AD53" s="259"/>
      <c r="AE53" s="259"/>
      <c r="AF53" s="259"/>
      <c r="AG53" s="259"/>
      <c r="AH53" s="259"/>
      <c r="AI53" s="259"/>
      <c r="AJ53" s="259"/>
      <c r="AK53" s="260"/>
      <c r="AL53" s="260"/>
      <c r="AM53" s="260"/>
      <c r="AN53" s="260"/>
    </row>
    <row r="54" spans="2:42" ht="45.6" customHeight="1" x14ac:dyDescent="0.2">
      <c r="B54" s="364" t="s">
        <v>187</v>
      </c>
      <c r="C54" s="365" t="str">
        <f>C33</f>
        <v>MEHANSKO PREZRAČEVANJE</v>
      </c>
      <c r="D54" s="366">
        <f>D53</f>
        <v>1</v>
      </c>
      <c r="E54" s="566">
        <f>ROUND(E33*D54,0)</f>
        <v>0</v>
      </c>
      <c r="F54" s="1296"/>
      <c r="G54" s="478">
        <f>ROUND(G33*D54,0)</f>
        <v>0</v>
      </c>
      <c r="H54" s="1296"/>
      <c r="I54" s="795">
        <f t="shared" si="3"/>
        <v>0</v>
      </c>
      <c r="J54" s="1293"/>
      <c r="K54" s="994">
        <f t="shared" ca="1" si="4"/>
        <v>0</v>
      </c>
      <c r="L54" s="799">
        <f ca="1">ROUND(L33*D54,0)</f>
        <v>0</v>
      </c>
      <c r="M54" s="1299"/>
      <c r="N54" s="729">
        <f ca="1">ROUND(N33*D54,0)</f>
        <v>0</v>
      </c>
      <c r="O54" s="1299"/>
      <c r="P54" s="933">
        <f ca="1">L54+N54</f>
        <v>0</v>
      </c>
      <c r="Q54" s="380">
        <f t="shared" ca="1" si="5"/>
        <v>0</v>
      </c>
      <c r="R54" s="259"/>
      <c r="S54" s="259"/>
      <c r="T54" s="259"/>
      <c r="U54" s="259"/>
      <c r="AD54" s="259"/>
      <c r="AE54" s="259"/>
      <c r="AF54" s="259"/>
      <c r="AG54" s="259"/>
      <c r="AH54" s="259"/>
      <c r="AI54" s="259"/>
      <c r="AJ54" s="259"/>
      <c r="AK54" s="260"/>
      <c r="AL54" s="260"/>
      <c r="AM54" s="260"/>
      <c r="AN54" s="260"/>
    </row>
    <row r="55" spans="2:42" ht="45.6" customHeight="1" thickBot="1" x14ac:dyDescent="0.25">
      <c r="B55" s="937"/>
      <c r="C55" s="938"/>
      <c r="D55" s="939"/>
      <c r="E55" s="727"/>
      <c r="F55" s="1297"/>
      <c r="G55" s="728"/>
      <c r="H55" s="1297"/>
      <c r="I55" s="796"/>
      <c r="J55" s="1294"/>
      <c r="K55" s="995"/>
      <c r="L55" s="800"/>
      <c r="M55" s="1300"/>
      <c r="N55" s="730"/>
      <c r="O55" s="1300"/>
      <c r="P55" s="934"/>
      <c r="Q55" s="380"/>
      <c r="R55" s="259"/>
      <c r="S55" s="259"/>
      <c r="T55" s="259"/>
      <c r="U55" s="259"/>
      <c r="AD55" s="259"/>
      <c r="AE55" s="259"/>
      <c r="AF55" s="259"/>
      <c r="AG55" s="259"/>
      <c r="AH55" s="259"/>
      <c r="AI55" s="259"/>
      <c r="AJ55" s="259"/>
      <c r="AK55" s="260"/>
      <c r="AL55" s="260"/>
      <c r="AM55" s="260"/>
      <c r="AN55" s="260"/>
    </row>
    <row r="56" spans="2:42" ht="34.5" customHeight="1" thickBot="1" x14ac:dyDescent="0.25">
      <c r="B56" s="1203" t="str">
        <f>B35</f>
        <v>SKUPAJ</v>
      </c>
      <c r="C56" s="1204"/>
      <c r="D56" s="1205"/>
      <c r="E56" s="330">
        <f>SUM(E52:E55)</f>
        <v>69069</v>
      </c>
      <c r="F56" s="331"/>
      <c r="G56" s="372">
        <f>SUM(G52:G55)</f>
        <v>98598</v>
      </c>
      <c r="H56" s="333"/>
      <c r="I56" s="334">
        <f>SUM(I52:I55)</f>
        <v>9859.7999999999993</v>
      </c>
      <c r="J56" s="955"/>
      <c r="K56" s="968">
        <f ca="1">SUM(K52:K55)</f>
        <v>0</v>
      </c>
      <c r="L56" s="781">
        <f ca="1">SUM(L52:L55)</f>
        <v>0</v>
      </c>
      <c r="M56" s="786"/>
      <c r="N56" s="783">
        <f ca="1">SUM(N52:N55)</f>
        <v>0</v>
      </c>
      <c r="O56" s="787"/>
      <c r="P56" s="789">
        <f ca="1">SUM(P52:P55)</f>
        <v>0</v>
      </c>
      <c r="Q56" s="387">
        <f ca="1">SUM(Q52:Q55)</f>
        <v>0</v>
      </c>
      <c r="R56" s="259"/>
      <c r="S56" s="259"/>
      <c r="T56" s="259"/>
      <c r="U56" s="259"/>
      <c r="AD56" s="259"/>
      <c r="AE56" s="259"/>
      <c r="AF56" s="259"/>
      <c r="AG56" s="259"/>
      <c r="AH56" s="259"/>
      <c r="AI56" s="259"/>
      <c r="AJ56" s="259"/>
      <c r="AK56" s="260"/>
      <c r="AL56" s="260"/>
      <c r="AM56" s="260"/>
      <c r="AN56" s="260"/>
    </row>
    <row r="57" spans="2:42" ht="18" customHeight="1" thickBot="1" x14ac:dyDescent="0.25">
      <c r="B57" s="256"/>
      <c r="C57" s="247"/>
      <c r="D57" s="247"/>
      <c r="E57" s="561"/>
      <c r="F57" s="247"/>
      <c r="G57" s="247"/>
      <c r="H57" s="247"/>
      <c r="I57" s="245"/>
      <c r="J57" s="246"/>
      <c r="K57" s="246"/>
      <c r="L57" s="246"/>
      <c r="M57" s="246"/>
      <c r="N57" s="246"/>
      <c r="O57" s="247"/>
      <c r="P57" s="247"/>
      <c r="Q57" s="247"/>
      <c r="R57" s="247"/>
      <c r="S57" s="247"/>
      <c r="T57" s="255"/>
      <c r="U57" s="255"/>
      <c r="V57" s="255"/>
      <c r="Y57" s="259"/>
      <c r="Z57" s="259"/>
      <c r="AA57" s="259"/>
      <c r="AB57" s="259"/>
      <c r="AC57" s="259"/>
      <c r="AD57" s="259"/>
      <c r="AE57" s="259"/>
      <c r="AF57" s="259"/>
      <c r="AG57" s="259"/>
      <c r="AH57" s="259"/>
      <c r="AI57" s="259"/>
      <c r="AJ57" s="259"/>
      <c r="AK57" s="260"/>
      <c r="AL57" s="260"/>
      <c r="AM57" s="260"/>
      <c r="AN57" s="260"/>
    </row>
    <row r="58" spans="2:42" ht="18" customHeight="1" thickBot="1" x14ac:dyDescent="0.25">
      <c r="B58" s="1268" t="s">
        <v>198</v>
      </c>
      <c r="C58" s="1277" t="s">
        <v>176</v>
      </c>
      <c r="D58" s="1289" t="s">
        <v>200</v>
      </c>
      <c r="E58" s="748" t="s">
        <v>417</v>
      </c>
      <c r="F58" s="949"/>
      <c r="G58" s="949"/>
      <c r="H58" s="949"/>
      <c r="I58" s="949"/>
      <c r="J58" s="949"/>
      <c r="K58" s="949"/>
      <c r="L58" s="949"/>
      <c r="M58" s="950"/>
      <c r="S58" s="255"/>
      <c r="T58" s="255"/>
      <c r="U58" s="255"/>
      <c r="V58" s="255"/>
      <c r="Y58" s="259"/>
      <c r="Z58" s="259"/>
      <c r="AA58" s="259"/>
      <c r="AB58" s="259"/>
      <c r="AC58" s="259"/>
      <c r="AD58" s="259"/>
      <c r="AE58" s="259"/>
      <c r="AF58" s="259"/>
      <c r="AG58" s="259"/>
      <c r="AH58" s="259"/>
      <c r="AI58" s="259"/>
      <c r="AJ58" s="259"/>
      <c r="AK58" s="260"/>
      <c r="AL58" s="260"/>
      <c r="AM58" s="260"/>
      <c r="AN58" s="260"/>
    </row>
    <row r="59" spans="2:42" ht="38.25" x14ac:dyDescent="0.2">
      <c r="B59" s="1270"/>
      <c r="C59" s="1279"/>
      <c r="D59" s="1290"/>
      <c r="E59" s="338" t="s">
        <v>400</v>
      </c>
      <c r="F59" s="336" t="s">
        <v>401</v>
      </c>
      <c r="G59" s="337" t="s">
        <v>402</v>
      </c>
      <c r="H59" s="336" t="s">
        <v>190</v>
      </c>
      <c r="I59" s="337" t="s">
        <v>191</v>
      </c>
      <c r="J59" s="408" t="s">
        <v>192</v>
      </c>
      <c r="K59" s="373" t="s">
        <v>388</v>
      </c>
      <c r="L59" s="374" t="s">
        <v>389</v>
      </c>
      <c r="M59" s="341" t="s">
        <v>201</v>
      </c>
      <c r="S59" s="255"/>
      <c r="T59" s="255"/>
      <c r="U59" s="255"/>
      <c r="V59" s="255"/>
      <c r="W59" s="255"/>
      <c r="X59" s="255"/>
      <c r="AJ59" s="259"/>
      <c r="AK59" s="259"/>
      <c r="AL59" s="259"/>
      <c r="AM59" s="260"/>
      <c r="AN59" s="260"/>
      <c r="AO59" s="260"/>
      <c r="AP59" s="260"/>
    </row>
    <row r="60" spans="2:42" ht="18.75" thickBot="1" x14ac:dyDescent="0.25">
      <c r="B60" s="362"/>
      <c r="C60" s="1085"/>
      <c r="D60" s="322"/>
      <c r="E60" s="342" t="s">
        <v>64</v>
      </c>
      <c r="F60" s="732" t="s">
        <v>64</v>
      </c>
      <c r="G60" s="318" t="s">
        <v>64</v>
      </c>
      <c r="H60" s="733" t="s">
        <v>64</v>
      </c>
      <c r="I60" s="732" t="s">
        <v>64</v>
      </c>
      <c r="J60" s="318" t="s">
        <v>64</v>
      </c>
      <c r="K60" s="376" t="s">
        <v>158</v>
      </c>
      <c r="L60" s="377" t="s">
        <v>158</v>
      </c>
      <c r="M60" s="345" t="s">
        <v>158</v>
      </c>
      <c r="S60" s="255"/>
      <c r="T60" s="255"/>
      <c r="U60" s="255"/>
      <c r="V60" s="255"/>
      <c r="W60" s="255"/>
      <c r="X60" s="255"/>
      <c r="AJ60" s="259"/>
      <c r="AK60" s="259"/>
      <c r="AL60" s="259"/>
      <c r="AM60" s="260"/>
      <c r="AN60" s="260"/>
      <c r="AO60" s="260"/>
      <c r="AP60" s="260"/>
    </row>
    <row r="61" spans="2:42" ht="50.25" customHeight="1" x14ac:dyDescent="0.2">
      <c r="B61" s="364" t="s">
        <v>184</v>
      </c>
      <c r="C61" s="365" t="str">
        <f>C40</f>
        <v>OGREVANJE</v>
      </c>
      <c r="D61" s="378">
        <f>D52</f>
        <v>1</v>
      </c>
      <c r="E61" s="1003">
        <f ca="1">E52-K52</f>
        <v>69069</v>
      </c>
      <c r="F61" s="1004" t="s">
        <v>135</v>
      </c>
      <c r="G61" s="998">
        <f ca="1">SUM(E61:F61)</f>
        <v>69069</v>
      </c>
      <c r="H61" s="1012">
        <f ca="1">G52-P52</f>
        <v>98598</v>
      </c>
      <c r="I61" s="1004" t="s">
        <v>135</v>
      </c>
      <c r="J61" s="998">
        <f ca="1">SUM(H61:I61)</f>
        <v>98598</v>
      </c>
      <c r="K61" s="379">
        <f ca="1">I52-Q52</f>
        <v>9859.7999999999993</v>
      </c>
      <c r="L61" s="754" t="s">
        <v>135</v>
      </c>
      <c r="M61" s="349">
        <f ca="1">SUM(K61:L61)</f>
        <v>9859.7999999999993</v>
      </c>
      <c r="S61" s="255"/>
      <c r="T61" s="255"/>
      <c r="U61" s="255"/>
      <c r="V61" s="255"/>
      <c r="W61" s="255"/>
      <c r="X61" s="255"/>
      <c r="AJ61" s="259"/>
      <c r="AK61" s="259"/>
      <c r="AL61" s="259"/>
      <c r="AM61" s="260"/>
      <c r="AN61" s="260"/>
      <c r="AO61" s="260"/>
      <c r="AP61" s="260"/>
    </row>
    <row r="62" spans="2:42" ht="50.25" customHeight="1" x14ac:dyDescent="0.2">
      <c r="B62" s="364" t="s">
        <v>184</v>
      </c>
      <c r="C62" s="365" t="str">
        <f>C41</f>
        <v>SANITARNA TOPLA VODA</v>
      </c>
      <c r="D62" s="378">
        <f>D53</f>
        <v>1</v>
      </c>
      <c r="E62" s="1005">
        <f ca="1">E53-K53</f>
        <v>0</v>
      </c>
      <c r="F62" s="1006" t="s">
        <v>135</v>
      </c>
      <c r="G62" s="999">
        <f ca="1">SUM(E62:F62)</f>
        <v>0</v>
      </c>
      <c r="H62" s="1013">
        <f ca="1">G53-P53</f>
        <v>0</v>
      </c>
      <c r="I62" s="1006" t="s">
        <v>135</v>
      </c>
      <c r="J62" s="999">
        <f ca="1">SUM(H62:I62)</f>
        <v>0</v>
      </c>
      <c r="K62" s="381">
        <f ca="1">I53-Q53</f>
        <v>0</v>
      </c>
      <c r="L62" s="755" t="s">
        <v>135</v>
      </c>
      <c r="M62" s="355">
        <f ca="1">SUM(K62:L62)</f>
        <v>0</v>
      </c>
      <c r="S62" s="255"/>
      <c r="T62" s="255"/>
      <c r="U62" s="255"/>
      <c r="V62" s="255"/>
      <c r="W62" s="255"/>
      <c r="X62" s="255"/>
      <c r="AJ62" s="259"/>
      <c r="AK62" s="259"/>
      <c r="AL62" s="259"/>
      <c r="AM62" s="260"/>
      <c r="AN62" s="260"/>
      <c r="AO62" s="260"/>
      <c r="AP62" s="260"/>
    </row>
    <row r="63" spans="2:42" ht="50.25" customHeight="1" x14ac:dyDescent="0.2">
      <c r="B63" s="364" t="s">
        <v>187</v>
      </c>
      <c r="C63" s="382" t="str">
        <f>C42</f>
        <v>MEHANSKO PREZRAČEVANJE</v>
      </c>
      <c r="D63" s="378">
        <f>D54</f>
        <v>1</v>
      </c>
      <c r="E63" s="1007" t="s">
        <v>135</v>
      </c>
      <c r="F63" s="1008">
        <f ca="1">E54-K54</f>
        <v>0</v>
      </c>
      <c r="G63" s="999">
        <f ca="1">SUM(E63:F63)</f>
        <v>0</v>
      </c>
      <c r="H63" s="1007" t="s">
        <v>135</v>
      </c>
      <c r="I63" s="935">
        <f ca="1">G54-P54</f>
        <v>0</v>
      </c>
      <c r="J63" s="999">
        <f ca="1">SUM(H63:I63)</f>
        <v>0</v>
      </c>
      <c r="K63" s="752" t="s">
        <v>135</v>
      </c>
      <c r="L63" s="381">
        <f ca="1">I54-Q54</f>
        <v>0</v>
      </c>
      <c r="M63" s="356">
        <f ca="1">ROUND(SUM(K63:L63),2)</f>
        <v>0</v>
      </c>
      <c r="S63" s="255"/>
      <c r="T63" s="255"/>
      <c r="U63" s="255"/>
      <c r="V63" s="255"/>
      <c r="W63" s="255"/>
      <c r="X63" s="255"/>
      <c r="AJ63" s="259"/>
      <c r="AK63" s="259"/>
      <c r="AL63" s="259"/>
      <c r="AM63" s="260"/>
      <c r="AN63" s="260"/>
      <c r="AO63" s="260"/>
      <c r="AP63" s="260"/>
    </row>
    <row r="64" spans="2:42" ht="50.25" customHeight="1" thickBot="1" x14ac:dyDescent="0.25">
      <c r="B64" s="364"/>
      <c r="C64" s="382"/>
      <c r="D64" s="378"/>
      <c r="E64" s="1009"/>
      <c r="F64" s="1010"/>
      <c r="G64" s="1000"/>
      <c r="H64" s="1009"/>
      <c r="I64" s="936"/>
      <c r="J64" s="1000"/>
      <c r="K64" s="753"/>
      <c r="L64" s="384"/>
      <c r="M64" s="356"/>
      <c r="S64" s="255"/>
      <c r="T64" s="255"/>
      <c r="U64" s="255"/>
      <c r="V64" s="255"/>
      <c r="W64" s="255"/>
      <c r="X64" s="255"/>
      <c r="AJ64" s="259"/>
      <c r="AK64" s="259"/>
      <c r="AL64" s="259"/>
      <c r="AM64" s="260"/>
      <c r="AN64" s="260"/>
      <c r="AO64" s="260"/>
      <c r="AP64" s="260"/>
    </row>
    <row r="65" spans="2:42" ht="35.25" customHeight="1" thickBot="1" x14ac:dyDescent="0.25">
      <c r="B65" s="1315" t="str">
        <f>B44</f>
        <v>SKUPAJ</v>
      </c>
      <c r="C65" s="1347"/>
      <c r="D65" s="1348"/>
      <c r="E65" s="439">
        <f t="shared" ref="E65:M65" ca="1" si="6">SUM(E61:E64)</f>
        <v>69069</v>
      </c>
      <c r="F65" s="1011">
        <f t="shared" ca="1" si="6"/>
        <v>0</v>
      </c>
      <c r="G65" s="1001">
        <f t="shared" ca="1" si="6"/>
        <v>69069</v>
      </c>
      <c r="H65" s="386">
        <f t="shared" ca="1" si="6"/>
        <v>98598</v>
      </c>
      <c r="I65" s="1011">
        <f t="shared" ca="1" si="6"/>
        <v>0</v>
      </c>
      <c r="J65" s="1002">
        <f t="shared" ca="1" si="6"/>
        <v>98598</v>
      </c>
      <c r="K65" s="546">
        <f t="shared" ca="1" si="6"/>
        <v>9859.7999999999993</v>
      </c>
      <c r="L65" s="358">
        <f t="shared" ca="1" si="6"/>
        <v>0</v>
      </c>
      <c r="M65" s="996">
        <f t="shared" ca="1" si="6"/>
        <v>9859.7999999999993</v>
      </c>
      <c r="S65" s="255"/>
      <c r="AJ65" s="259"/>
      <c r="AK65" s="259"/>
      <c r="AL65" s="259"/>
      <c r="AM65" s="260"/>
      <c r="AN65" s="260"/>
      <c r="AO65" s="260"/>
      <c r="AP65" s="260"/>
    </row>
    <row r="66" spans="2:42" ht="15.75" thickBot="1" x14ac:dyDescent="0.25">
      <c r="B66" s="257"/>
      <c r="C66" s="247"/>
      <c r="D66" s="247"/>
      <c r="E66" s="247"/>
      <c r="F66" s="247"/>
      <c r="G66" s="360"/>
      <c r="H66" s="247"/>
      <c r="I66" s="389"/>
      <c r="J66" s="389"/>
      <c r="K66" s="389"/>
      <c r="L66" s="389"/>
      <c r="M66" s="389"/>
      <c r="N66" s="389"/>
      <c r="O66" s="247"/>
      <c r="P66" s="390"/>
      <c r="Q66" s="247"/>
      <c r="R66" s="247"/>
      <c r="S66" s="247"/>
      <c r="T66" s="259"/>
      <c r="U66" s="259"/>
      <c r="V66" s="259"/>
      <c r="W66" s="259"/>
      <c r="X66" s="259"/>
      <c r="Y66" s="259"/>
      <c r="Z66" s="259"/>
      <c r="AA66" s="259"/>
      <c r="AB66" s="259"/>
      <c r="AC66" s="259"/>
      <c r="AD66" s="259"/>
      <c r="AE66" s="259"/>
      <c r="AF66" s="259"/>
      <c r="AG66" s="259"/>
      <c r="AH66" s="259"/>
      <c r="AI66" s="259"/>
      <c r="AJ66" s="259"/>
      <c r="AK66" s="260"/>
      <c r="AL66" s="260"/>
      <c r="AM66" s="260"/>
      <c r="AN66" s="260"/>
    </row>
    <row r="67" spans="2:42" ht="36.75" customHeight="1" thickBot="1" x14ac:dyDescent="0.25">
      <c r="B67" s="361" t="s">
        <v>202</v>
      </c>
      <c r="C67" s="316"/>
      <c r="D67" s="316"/>
      <c r="E67" s="316"/>
      <c r="F67" s="316"/>
      <c r="G67" s="316"/>
      <c r="H67" s="316"/>
      <c r="I67" s="316"/>
      <c r="J67" s="316"/>
      <c r="K67" s="316"/>
      <c r="L67" s="316"/>
      <c r="M67" s="316"/>
      <c r="N67" s="316"/>
      <c r="O67" s="316"/>
      <c r="P67" s="316"/>
      <c r="Q67" s="316"/>
      <c r="R67" s="316"/>
      <c r="S67" s="316"/>
      <c r="T67" s="316"/>
      <c r="U67" s="316"/>
      <c r="V67" s="997"/>
      <c r="X67" s="259"/>
      <c r="Y67" s="259"/>
      <c r="Z67" s="259"/>
      <c r="AA67" s="259"/>
      <c r="AB67" s="259"/>
      <c r="AC67" s="259"/>
      <c r="AD67" s="259"/>
      <c r="AE67" s="259"/>
      <c r="AF67" s="259"/>
      <c r="AG67" s="259"/>
      <c r="AH67" s="259"/>
      <c r="AI67" s="259"/>
      <c r="AJ67" s="391" t="s">
        <v>203</v>
      </c>
      <c r="AK67" s="392"/>
      <c r="AL67" s="392"/>
      <c r="AM67" s="392"/>
      <c r="AN67" s="260"/>
    </row>
    <row r="68" spans="2:42" ht="45" customHeight="1" thickBot="1" x14ac:dyDescent="0.25">
      <c r="B68" s="748" t="s">
        <v>204</v>
      </c>
      <c r="C68" s="757"/>
      <c r="D68" s="757"/>
      <c r="E68" s="757"/>
      <c r="F68" s="757"/>
      <c r="G68" s="757"/>
      <c r="H68" s="757"/>
      <c r="I68" s="757"/>
      <c r="J68" s="757"/>
      <c r="K68" s="809" t="s">
        <v>205</v>
      </c>
      <c r="L68" s="810"/>
      <c r="M68" s="810"/>
      <c r="N68" s="810"/>
      <c r="O68" s="810"/>
      <c r="P68" s="810"/>
      <c r="Q68" s="811"/>
      <c r="R68" s="809" t="s">
        <v>206</v>
      </c>
      <c r="S68" s="809"/>
      <c r="T68" s="746"/>
      <c r="U68" s="746"/>
      <c r="V68" s="918"/>
      <c r="AB68" s="259"/>
      <c r="AC68" s="259"/>
      <c r="AD68" s="259"/>
      <c r="AE68" s="259"/>
      <c r="AF68" s="259"/>
      <c r="AG68" s="259"/>
      <c r="AH68" s="259"/>
      <c r="AI68" s="259"/>
      <c r="AJ68" s="391"/>
      <c r="AK68" s="392"/>
      <c r="AL68" s="392"/>
      <c r="AM68" s="392"/>
      <c r="AN68" s="260"/>
    </row>
    <row r="69" spans="2:42" ht="84" customHeight="1" x14ac:dyDescent="0.2">
      <c r="B69" s="765" t="s">
        <v>63</v>
      </c>
      <c r="C69" s="758" t="s">
        <v>207</v>
      </c>
      <c r="D69" s="1093" t="s">
        <v>37</v>
      </c>
      <c r="E69" s="760" t="s">
        <v>163</v>
      </c>
      <c r="F69" s="761" t="s">
        <v>176</v>
      </c>
      <c r="G69" s="764" t="s">
        <v>175</v>
      </c>
      <c r="H69" s="338" t="s">
        <v>407</v>
      </c>
      <c r="I69" s="339" t="s">
        <v>408</v>
      </c>
      <c r="J69" s="408" t="s">
        <v>398</v>
      </c>
      <c r="K69" s="1077" t="s">
        <v>409</v>
      </c>
      <c r="L69" s="1078" t="s">
        <v>350</v>
      </c>
      <c r="M69" s="1081" t="s">
        <v>349</v>
      </c>
      <c r="N69" s="1079" t="s">
        <v>208</v>
      </c>
      <c r="O69" s="1079" t="s">
        <v>405</v>
      </c>
      <c r="P69" s="901" t="s">
        <v>403</v>
      </c>
      <c r="Q69" s="339" t="s">
        <v>404</v>
      </c>
      <c r="R69" s="761" t="s">
        <v>176</v>
      </c>
      <c r="S69" s="393" t="s">
        <v>207</v>
      </c>
      <c r="T69" s="1095" t="s">
        <v>37</v>
      </c>
      <c r="U69" s="1079" t="s">
        <v>209</v>
      </c>
      <c r="V69" s="408" t="s">
        <v>210</v>
      </c>
      <c r="AJ69" s="391" t="s">
        <v>211</v>
      </c>
      <c r="AK69" s="392" t="s">
        <v>212</v>
      </c>
      <c r="AL69" s="395" t="s">
        <v>213</v>
      </c>
      <c r="AM69" s="392" t="s">
        <v>214</v>
      </c>
      <c r="AN69" s="260"/>
    </row>
    <row r="70" spans="2:42" s="813" customFormat="1" ht="14.25" customHeight="1" thickBot="1" x14ac:dyDescent="0.25">
      <c r="B70" s="814"/>
      <c r="C70" s="762"/>
      <c r="D70" s="1094"/>
      <c r="E70" s="815"/>
      <c r="F70" s="802"/>
      <c r="G70" s="803"/>
      <c r="H70" s="802"/>
      <c r="I70" s="822"/>
      <c r="J70" s="804"/>
      <c r="K70" s="812" t="s">
        <v>215</v>
      </c>
      <c r="L70" s="322"/>
      <c r="M70" s="322"/>
      <c r="N70" s="376"/>
      <c r="O70" s="398" t="s">
        <v>64</v>
      </c>
      <c r="P70" s="721" t="s">
        <v>64</v>
      </c>
      <c r="Q70" s="375" t="s">
        <v>64</v>
      </c>
      <c r="R70" s="802"/>
      <c r="S70" s="396" t="s">
        <v>64</v>
      </c>
      <c r="T70" s="1096" t="s">
        <v>64</v>
      </c>
      <c r="U70" s="375" t="s">
        <v>64</v>
      </c>
      <c r="V70" s="398" t="s">
        <v>158</v>
      </c>
      <c r="AJ70" s="816"/>
      <c r="AK70" s="817"/>
      <c r="AL70" s="817"/>
      <c r="AM70" s="817" t="s">
        <v>64</v>
      </c>
      <c r="AN70" s="818"/>
    </row>
    <row r="71" spans="2:42" s="849" customFormat="1" ht="54.75" customHeight="1" x14ac:dyDescent="0.2">
      <c r="B71" s="846" t="s">
        <v>393</v>
      </c>
      <c r="C71" s="859"/>
      <c r="D71" s="859"/>
      <c r="E71" s="861">
        <f>C71+D71</f>
        <v>0</v>
      </c>
      <c r="F71" s="841" t="s">
        <v>185</v>
      </c>
      <c r="G71" s="819" t="str">
        <f>B52</f>
        <v>Merjeni</v>
      </c>
      <c r="H71" s="805" t="s">
        <v>135</v>
      </c>
      <c r="I71" s="806" t="s">
        <v>135</v>
      </c>
      <c r="J71" s="862"/>
      <c r="K71" s="399">
        <f>N24</f>
        <v>1</v>
      </c>
      <c r="L71" s="747">
        <f>U24</f>
        <v>1</v>
      </c>
      <c r="M71" s="747">
        <v>1</v>
      </c>
      <c r="N71" s="834">
        <f>ROUND(K71*L71*M71,5)</f>
        <v>1</v>
      </c>
      <c r="O71" s="899">
        <f>IFERROR(J71/SUM(J71:J73)*E72*N71,0)</f>
        <v>0</v>
      </c>
      <c r="P71" s="902">
        <v>0</v>
      </c>
      <c r="Q71" s="906">
        <v>0</v>
      </c>
      <c r="R71" s="841" t="s">
        <v>452</v>
      </c>
      <c r="S71" s="847" t="e">
        <f>O71*$C$73/$C$74+P71-H74</f>
        <v>#DIV/0!</v>
      </c>
      <c r="T71" s="848" t="e">
        <f>O71*$D$73/$D$74+Q71-I74</f>
        <v>#DIV/0!</v>
      </c>
      <c r="U71" s="912" t="e">
        <f>SUM(S71:T71)</f>
        <v>#DIV/0!</v>
      </c>
      <c r="V71" s="837" t="e">
        <f ca="1">ROUND(S71*$C$75+T71*$D$75,2)</f>
        <v>#DIV/0!</v>
      </c>
      <c r="AJ71" s="850" t="s">
        <v>216</v>
      </c>
      <c r="AK71" s="392" t="s">
        <v>217</v>
      </c>
      <c r="AL71" s="392" t="s">
        <v>114</v>
      </c>
      <c r="AM71" s="400"/>
      <c r="AN71" s="851"/>
    </row>
    <row r="72" spans="2:42" s="849" customFormat="1" ht="54.75" customHeight="1" x14ac:dyDescent="0.2">
      <c r="B72" s="852" t="s">
        <v>394</v>
      </c>
      <c r="C72" s="860"/>
      <c r="D72" s="860"/>
      <c r="E72" s="1030">
        <f>C72+D72</f>
        <v>0</v>
      </c>
      <c r="F72" s="842" t="s">
        <v>186</v>
      </c>
      <c r="G72" s="820" t="str">
        <f>B53</f>
        <v>Merjeni</v>
      </c>
      <c r="H72" s="823" t="s">
        <v>135</v>
      </c>
      <c r="I72" s="824" t="s">
        <v>135</v>
      </c>
      <c r="J72" s="863">
        <v>0</v>
      </c>
      <c r="K72" s="805" t="s">
        <v>135</v>
      </c>
      <c r="L72" s="625">
        <v>1</v>
      </c>
      <c r="M72" s="401">
        <v>1</v>
      </c>
      <c r="N72" s="835">
        <f>ROUND(L72*M72,5)</f>
        <v>1</v>
      </c>
      <c r="O72" s="900">
        <f>IFERROR(J72/SUM(J71:J73)*E72*N72,0)</f>
        <v>0</v>
      </c>
      <c r="P72" s="903">
        <v>0</v>
      </c>
      <c r="Q72" s="907">
        <v>0</v>
      </c>
      <c r="R72" s="842" t="s">
        <v>186</v>
      </c>
      <c r="S72" s="853" t="e">
        <f>O72*C73/C74</f>
        <v>#DIV/0!</v>
      </c>
      <c r="T72" s="854" t="e">
        <f>O72*D73/D74</f>
        <v>#DIV/0!</v>
      </c>
      <c r="U72" s="913" t="e">
        <f>SUM(S72:T72)</f>
        <v>#DIV/0!</v>
      </c>
      <c r="V72" s="838" t="e">
        <f t="shared" ref="V72:V73" ca="1" si="7">ROUND(S72*$C$75+T72*$D$75,2)</f>
        <v>#DIV/0!</v>
      </c>
      <c r="AJ72" s="850" t="s">
        <v>218</v>
      </c>
      <c r="AK72" s="392" t="s">
        <v>217</v>
      </c>
      <c r="AL72" s="392" t="s">
        <v>114</v>
      </c>
      <c r="AM72" s="400"/>
      <c r="AN72" s="851"/>
    </row>
    <row r="73" spans="2:42" s="849" customFormat="1" ht="54.75" customHeight="1" x14ac:dyDescent="0.2">
      <c r="B73" s="852" t="s">
        <v>396</v>
      </c>
      <c r="C73" s="832">
        <f>IFERROR(C72/E72,0)</f>
        <v>0</v>
      </c>
      <c r="D73" s="832">
        <f>IFERROR(D72/E72,0)</f>
        <v>0</v>
      </c>
      <c r="E73" s="833">
        <f>C73+D73</f>
        <v>0</v>
      </c>
      <c r="F73" s="843" t="s">
        <v>384</v>
      </c>
      <c r="G73" s="820" t="s">
        <v>187</v>
      </c>
      <c r="H73" s="825">
        <f ca="1">L54</f>
        <v>0</v>
      </c>
      <c r="I73" s="826">
        <f ca="1">N54</f>
        <v>0</v>
      </c>
      <c r="J73" s="863"/>
      <c r="K73" s="805" t="s">
        <v>135</v>
      </c>
      <c r="L73" s="801" t="s">
        <v>135</v>
      </c>
      <c r="M73" s="801" t="s">
        <v>135</v>
      </c>
      <c r="N73" s="835">
        <v>1</v>
      </c>
      <c r="O73" s="900">
        <f>IFERROR(J73/SUM(J71:J73)*E72*N73,0)</f>
        <v>0</v>
      </c>
      <c r="P73" s="904" t="s">
        <v>135</v>
      </c>
      <c r="Q73" s="806" t="s">
        <v>135</v>
      </c>
      <c r="R73" s="843" t="s">
        <v>384</v>
      </c>
      <c r="S73" s="855">
        <f ca="1">H73</f>
        <v>0</v>
      </c>
      <c r="T73" s="856">
        <f ca="1">I73</f>
        <v>0</v>
      </c>
      <c r="U73" s="914">
        <f ca="1">SUM(S73:T73)</f>
        <v>0</v>
      </c>
      <c r="V73" s="839">
        <f t="shared" ca="1" si="7"/>
        <v>0</v>
      </c>
      <c r="AJ73" s="850" t="s">
        <v>219</v>
      </c>
      <c r="AK73" s="392" t="s">
        <v>217</v>
      </c>
      <c r="AL73" s="392" t="s">
        <v>114</v>
      </c>
      <c r="AM73" s="400"/>
      <c r="AN73" s="851"/>
    </row>
    <row r="74" spans="2:42" s="849" customFormat="1" ht="54.75" customHeight="1" thickBot="1" x14ac:dyDescent="0.25">
      <c r="B74" s="920" t="s">
        <v>395</v>
      </c>
      <c r="C74" s="919">
        <f>IFERROR(C72/C71,0)</f>
        <v>0</v>
      </c>
      <c r="D74" s="919">
        <f>IFERROR(D72/D71,0)</f>
        <v>0</v>
      </c>
      <c r="E74" s="921">
        <f>IFERROR(E72/E71,0)</f>
        <v>0</v>
      </c>
      <c r="F74" s="844"/>
      <c r="G74" s="821"/>
      <c r="H74" s="827"/>
      <c r="I74" s="828"/>
      <c r="J74" s="916"/>
      <c r="K74" s="807"/>
      <c r="L74" s="808"/>
      <c r="M74" s="808"/>
      <c r="N74" s="836"/>
      <c r="O74" s="917"/>
      <c r="P74" s="905"/>
      <c r="Q74" s="908"/>
      <c r="R74" s="844"/>
      <c r="S74" s="857"/>
      <c r="T74" s="858"/>
      <c r="U74" s="915"/>
      <c r="V74" s="840"/>
      <c r="AJ74" s="850"/>
      <c r="AK74" s="392"/>
      <c r="AL74" s="392"/>
      <c r="AM74" s="400"/>
      <c r="AN74" s="851"/>
    </row>
    <row r="75" spans="2:42" ht="51.75" customHeight="1" thickBot="1" x14ac:dyDescent="0.25">
      <c r="B75" s="922" t="s">
        <v>410</v>
      </c>
      <c r="C75" s="928">
        <f ca="1">ROUND(M52,6)</f>
        <v>0.16700000000000001</v>
      </c>
      <c r="D75" s="928">
        <f ca="1">ROUND(O52,6)</f>
        <v>0.1</v>
      </c>
      <c r="E75" s="923"/>
      <c r="F75" s="829" t="s">
        <v>163</v>
      </c>
      <c r="G75" s="830"/>
      <c r="H75" s="831"/>
      <c r="I75" s="845"/>
      <c r="J75" s="246"/>
      <c r="K75" s="246"/>
      <c r="L75" s="246"/>
      <c r="M75" s="246"/>
      <c r="N75" s="246"/>
      <c r="O75" s="1031">
        <f>SUM(O71:O74)</f>
        <v>0</v>
      </c>
      <c r="P75" s="404"/>
      <c r="Q75" s="404"/>
      <c r="S75" s="909" t="e">
        <f>SUM(S71:S74)</f>
        <v>#DIV/0!</v>
      </c>
      <c r="T75" s="910" t="e">
        <f>SUM(T71:T74)</f>
        <v>#DIV/0!</v>
      </c>
      <c r="U75" s="910" t="e">
        <f>SUM(U71:U74)</f>
        <v>#DIV/0!</v>
      </c>
      <c r="V75" s="911" t="e">
        <f ca="1">SUM(V71:V74)</f>
        <v>#DIV/0!</v>
      </c>
      <c r="W75" s="259"/>
      <c r="X75" s="259"/>
      <c r="Y75" s="259"/>
      <c r="Z75" s="259"/>
      <c r="AA75" s="259"/>
      <c r="AB75" s="259"/>
      <c r="AC75" s="259"/>
      <c r="AD75" s="259"/>
      <c r="AE75" s="259"/>
      <c r="AF75" s="259"/>
      <c r="AG75" s="259"/>
      <c r="AH75" s="259"/>
      <c r="AI75" s="259"/>
      <c r="AJ75" s="391" t="s">
        <v>220</v>
      </c>
      <c r="AK75" s="392" t="s">
        <v>221</v>
      </c>
      <c r="AL75" s="405" t="s">
        <v>222</v>
      </c>
      <c r="AM75" s="400"/>
      <c r="AN75" s="260"/>
    </row>
    <row r="76" spans="2:42" ht="15.75" thickBot="1" x14ac:dyDescent="0.25">
      <c r="B76" s="256"/>
      <c r="C76" s="247"/>
      <c r="D76" s="388"/>
      <c r="E76" s="247"/>
      <c r="F76" s="247"/>
      <c r="G76" s="247"/>
      <c r="H76" s="388"/>
      <c r="I76" s="245"/>
      <c r="J76" s="402"/>
      <c r="K76" s="246"/>
      <c r="L76" s="246"/>
      <c r="M76" s="246"/>
      <c r="N76" s="246"/>
      <c r="O76" s="403"/>
      <c r="P76" s="404"/>
      <c r="Q76" s="404"/>
      <c r="R76" s="404"/>
      <c r="T76" s="259"/>
      <c r="U76" s="259"/>
      <c r="V76" s="259"/>
      <c r="W76" s="259"/>
      <c r="X76" s="259"/>
      <c r="Y76" s="259"/>
      <c r="Z76" s="259"/>
      <c r="AA76" s="259"/>
      <c r="AB76" s="259"/>
      <c r="AC76" s="259"/>
      <c r="AD76" s="259"/>
      <c r="AE76" s="259"/>
      <c r="AF76" s="259"/>
      <c r="AG76" s="259"/>
      <c r="AH76" s="259"/>
      <c r="AI76" s="259"/>
      <c r="AJ76" s="391"/>
      <c r="AK76" s="392"/>
      <c r="AL76" s="405"/>
      <c r="AM76" s="400"/>
      <c r="AN76" s="260"/>
    </row>
    <row r="77" spans="2:42" ht="40.5" customHeight="1" thickBot="1" x14ac:dyDescent="0.25">
      <c r="B77" s="1268" t="s">
        <v>198</v>
      </c>
      <c r="C77" s="1271" t="s">
        <v>176</v>
      </c>
      <c r="D77" s="1311" t="s">
        <v>223</v>
      </c>
      <c r="E77" s="1312"/>
      <c r="F77" s="1313"/>
      <c r="G77" s="1326" t="s">
        <v>224</v>
      </c>
      <c r="H77" s="1327"/>
      <c r="I77" s="1327"/>
      <c r="J77" s="1327"/>
      <c r="K77" s="1327"/>
      <c r="L77" s="1327"/>
      <c r="M77" s="1328"/>
      <c r="N77" s="406"/>
      <c r="O77" s="406"/>
      <c r="P77" s="406"/>
      <c r="Q77" s="255"/>
      <c r="R77" s="255"/>
      <c r="S77" s="255"/>
      <c r="T77" s="259"/>
      <c r="U77" s="259"/>
      <c r="V77" s="259"/>
      <c r="W77" s="259"/>
      <c r="X77" s="259"/>
      <c r="Y77" s="259"/>
      <c r="Z77" s="259"/>
      <c r="AA77" s="259"/>
      <c r="AB77" s="259"/>
      <c r="AC77" s="259"/>
      <c r="AD77" s="259"/>
      <c r="AE77" s="259"/>
      <c r="AF77" s="259"/>
      <c r="AG77" s="259"/>
      <c r="AH77" s="259"/>
      <c r="AI77" s="259"/>
      <c r="AJ77" s="391" t="s">
        <v>225</v>
      </c>
      <c r="AK77" s="392" t="s">
        <v>221</v>
      </c>
      <c r="AL77" s="392" t="s">
        <v>114</v>
      </c>
      <c r="AM77" s="400"/>
      <c r="AN77" s="260"/>
    </row>
    <row r="78" spans="2:42" ht="56.25" x14ac:dyDescent="0.2">
      <c r="B78" s="1269"/>
      <c r="C78" s="1273"/>
      <c r="D78" s="601" t="s">
        <v>226</v>
      </c>
      <c r="E78" s="602" t="s">
        <v>227</v>
      </c>
      <c r="F78" s="335" t="s">
        <v>414</v>
      </c>
      <c r="G78" s="338" t="s">
        <v>190</v>
      </c>
      <c r="H78" s="336" t="s">
        <v>191</v>
      </c>
      <c r="I78" s="337" t="s">
        <v>192</v>
      </c>
      <c r="J78" s="337" t="s">
        <v>412</v>
      </c>
      <c r="K78" s="337" t="s">
        <v>413</v>
      </c>
      <c r="L78" s="338" t="s">
        <v>193</v>
      </c>
      <c r="M78" s="336" t="s">
        <v>194</v>
      </c>
      <c r="N78" s="407" t="s">
        <v>228</v>
      </c>
      <c r="O78" s="407" t="s">
        <v>411</v>
      </c>
      <c r="P78" s="571" t="s">
        <v>229</v>
      </c>
      <c r="Q78" s="255"/>
      <c r="R78" s="255"/>
      <c r="S78" s="255"/>
      <c r="T78" s="255"/>
      <c r="U78" s="255"/>
      <c r="V78" s="255"/>
      <c r="W78" s="255"/>
      <c r="Z78" s="259"/>
      <c r="AA78" s="259"/>
      <c r="AB78" s="259"/>
      <c r="AC78" s="259"/>
      <c r="AD78" s="259"/>
      <c r="AE78" s="259"/>
      <c r="AF78" s="259"/>
      <c r="AG78" s="259"/>
      <c r="AH78" s="259"/>
      <c r="AI78" s="259"/>
      <c r="AJ78" s="259"/>
      <c r="AK78" s="259"/>
      <c r="AL78" s="260"/>
      <c r="AM78" s="260"/>
      <c r="AN78" s="260"/>
      <c r="AO78" s="260"/>
    </row>
    <row r="79" spans="2:42" ht="18.75" thickBot="1" x14ac:dyDescent="0.25">
      <c r="B79" s="1309"/>
      <c r="C79" s="1310"/>
      <c r="D79" s="721" t="s">
        <v>64</v>
      </c>
      <c r="E79" s="1084" t="s">
        <v>158</v>
      </c>
      <c r="F79" s="721" t="s">
        <v>183</v>
      </c>
      <c r="G79" s="323" t="s">
        <v>64</v>
      </c>
      <c r="H79" s="324" t="s">
        <v>64</v>
      </c>
      <c r="I79" s="562" t="s">
        <v>64</v>
      </c>
      <c r="J79" s="562" t="s">
        <v>64</v>
      </c>
      <c r="K79" s="562" t="s">
        <v>64</v>
      </c>
      <c r="L79" s="323" t="s">
        <v>158</v>
      </c>
      <c r="M79" s="324" t="s">
        <v>158</v>
      </c>
      <c r="N79" s="344" t="s">
        <v>158</v>
      </c>
      <c r="O79" s="344" t="s">
        <v>158</v>
      </c>
      <c r="P79" s="722" t="s">
        <v>158</v>
      </c>
      <c r="Q79" s="255"/>
      <c r="R79" s="255"/>
      <c r="S79" s="255"/>
      <c r="T79" s="255"/>
      <c r="U79" s="255"/>
      <c r="V79" s="255"/>
      <c r="W79" s="255"/>
      <c r="Z79" s="259"/>
      <c r="AA79" s="259"/>
      <c r="AB79" s="259"/>
      <c r="AC79" s="259"/>
      <c r="AD79" s="259"/>
      <c r="AE79" s="259"/>
      <c r="AF79" s="259"/>
      <c r="AG79" s="259"/>
      <c r="AH79" s="259"/>
      <c r="AI79" s="259"/>
      <c r="AJ79" s="259"/>
      <c r="AK79" s="259"/>
      <c r="AL79" s="260"/>
      <c r="AM79" s="260"/>
      <c r="AN79" s="260"/>
      <c r="AO79" s="260"/>
    </row>
    <row r="80" spans="2:42" ht="49.5" customHeight="1" x14ac:dyDescent="0.2">
      <c r="B80" s="893" t="str">
        <f t="shared" ref="B80:C82" si="8">B61</f>
        <v>Merjeni</v>
      </c>
      <c r="C80" s="896" t="str">
        <f t="shared" si="8"/>
        <v>OGREVANJE</v>
      </c>
      <c r="D80" s="940" t="e">
        <f>ROUND(U71,0)</f>
        <v>#DIV/0!</v>
      </c>
      <c r="E80" s="944" t="e">
        <f ca="1">V71</f>
        <v>#DIV/0!</v>
      </c>
      <c r="F80" s="599">
        <f ca="1">ROUND(IFERROR(E80/D80,0),15)</f>
        <v>0</v>
      </c>
      <c r="G80" s="882" t="e">
        <f>ROUND(G52-D80,0)</f>
        <v>#DIV/0!</v>
      </c>
      <c r="H80" s="883"/>
      <c r="I80" s="884" t="e">
        <f>SUM(G80:H80)</f>
        <v>#DIV/0!</v>
      </c>
      <c r="J80" s="884">
        <f ca="1">ROUND(J61,0)</f>
        <v>98598</v>
      </c>
      <c r="K80" s="924" t="e">
        <f ca="1">ROUND(I80-J80,0)</f>
        <v>#DIV/0!</v>
      </c>
      <c r="L80" s="870" t="e">
        <f ca="1">ROUND(I52-E80,2)</f>
        <v>#DIV/0!</v>
      </c>
      <c r="M80" s="871"/>
      <c r="N80" s="600" t="e">
        <f ca="1">SUM(L80:M80)</f>
        <v>#DIV/0!</v>
      </c>
      <c r="O80" s="600">
        <f ca="1">M61</f>
        <v>9859.7999999999993</v>
      </c>
      <c r="P80" s="872" t="e">
        <f ca="1">ROUND(N80-O80,2)</f>
        <v>#DIV/0!</v>
      </c>
      <c r="Q80" s="255"/>
      <c r="R80" s="255"/>
      <c r="S80" s="255"/>
      <c r="T80" s="255"/>
      <c r="U80" s="255"/>
      <c r="V80" s="255"/>
      <c r="W80" s="255"/>
      <c r="Z80" s="259"/>
      <c r="AA80" s="259"/>
      <c r="AB80" s="259"/>
      <c r="AC80" s="259"/>
      <c r="AD80" s="259"/>
      <c r="AE80" s="259"/>
      <c r="AF80" s="259"/>
      <c r="AG80" s="259"/>
      <c r="AH80" s="259"/>
      <c r="AI80" s="259"/>
      <c r="AJ80" s="259"/>
      <c r="AK80" s="259"/>
      <c r="AL80" s="260"/>
      <c r="AM80" s="260"/>
      <c r="AN80" s="260"/>
      <c r="AO80" s="260"/>
    </row>
    <row r="81" spans="2:41" ht="49.5" customHeight="1" x14ac:dyDescent="0.2">
      <c r="B81" s="894" t="str">
        <f t="shared" si="8"/>
        <v>Merjeni</v>
      </c>
      <c r="C81" s="897" t="str">
        <f t="shared" si="8"/>
        <v>SANITARNA TOPLA VODA</v>
      </c>
      <c r="D81" s="941" t="e">
        <f t="shared" ref="D81:D82" si="9">ROUND(U72,0)</f>
        <v>#DIV/0!</v>
      </c>
      <c r="E81" s="944" t="e">
        <f ca="1">V72</f>
        <v>#DIV/0!</v>
      </c>
      <c r="F81" s="409">
        <f t="shared" ref="F81:F82" ca="1" si="10">ROUND(IFERROR(E81/D81,0),15)</f>
        <v>0</v>
      </c>
      <c r="G81" s="864" t="e">
        <f>ROUND(G53-D81,0)</f>
        <v>#DIV/0!</v>
      </c>
      <c r="H81" s="865"/>
      <c r="I81" s="873" t="e">
        <f>SUM(G81:H81)</f>
        <v>#DIV/0!</v>
      </c>
      <c r="J81" s="873">
        <f ca="1">ROUND(J62,0)</f>
        <v>0</v>
      </c>
      <c r="K81" s="925" t="e">
        <f t="shared" ref="K81:K82" ca="1" si="11">ROUND(I81-J81,0)</f>
        <v>#DIV/0!</v>
      </c>
      <c r="L81" s="874" t="e">
        <f ca="1">I53-E81</f>
        <v>#DIV/0!</v>
      </c>
      <c r="M81" s="875"/>
      <c r="N81" s="410" t="e">
        <f ca="1">SUM(L81:M81)</f>
        <v>#DIV/0!</v>
      </c>
      <c r="O81" s="410">
        <f ca="1">M62</f>
        <v>0</v>
      </c>
      <c r="P81" s="876" t="e">
        <f ca="1">ROUND(N81-O81,2)</f>
        <v>#DIV/0!</v>
      </c>
      <c r="Q81" s="255"/>
      <c r="R81" s="255"/>
      <c r="S81" s="255"/>
      <c r="T81" s="255"/>
      <c r="U81" s="255"/>
      <c r="V81" s="255"/>
      <c r="W81" s="255"/>
      <c r="Z81" s="259"/>
      <c r="AA81" s="259"/>
      <c r="AB81" s="259"/>
      <c r="AC81" s="259"/>
      <c r="AD81" s="259"/>
      <c r="AE81" s="259"/>
      <c r="AF81" s="259"/>
      <c r="AG81" s="259"/>
      <c r="AH81" s="259"/>
      <c r="AI81" s="259"/>
      <c r="AJ81" s="259"/>
      <c r="AK81" s="259"/>
      <c r="AL81" s="260"/>
      <c r="AM81" s="260"/>
      <c r="AN81" s="260"/>
      <c r="AO81" s="260"/>
    </row>
    <row r="82" spans="2:41" ht="49.5" customHeight="1" x14ac:dyDescent="0.2">
      <c r="B82" s="894" t="str">
        <f t="shared" si="8"/>
        <v>Normirani</v>
      </c>
      <c r="C82" s="897" t="str">
        <f t="shared" si="8"/>
        <v>MEHANSKO PREZRAČEVANJE</v>
      </c>
      <c r="D82" s="942">
        <f t="shared" ca="1" si="9"/>
        <v>0</v>
      </c>
      <c r="E82" s="945">
        <f ca="1">V73</f>
        <v>0</v>
      </c>
      <c r="F82" s="409">
        <f t="shared" ca="1" si="10"/>
        <v>0</v>
      </c>
      <c r="G82" s="866"/>
      <c r="H82" s="867">
        <f ca="1">ROUND(I63,0)</f>
        <v>0</v>
      </c>
      <c r="I82" s="873">
        <f ca="1">SUM(G82:H82)</f>
        <v>0</v>
      </c>
      <c r="J82" s="873">
        <f ca="1">ROUND(J63,0)</f>
        <v>0</v>
      </c>
      <c r="K82" s="925">
        <f t="shared" ca="1" si="11"/>
        <v>0</v>
      </c>
      <c r="L82" s="877"/>
      <c r="M82" s="878">
        <f ca="1">L63</f>
        <v>0</v>
      </c>
      <c r="N82" s="410">
        <f ca="1">SUM(L82:M82)</f>
        <v>0</v>
      </c>
      <c r="O82" s="410">
        <f ca="1">M63</f>
        <v>0</v>
      </c>
      <c r="P82" s="876">
        <f ca="1">ROUND(N82-O82,2)</f>
        <v>0</v>
      </c>
      <c r="Q82" s="255"/>
      <c r="R82" s="255"/>
      <c r="S82" s="255"/>
      <c r="T82" s="255"/>
      <c r="U82" s="255"/>
      <c r="V82" s="255"/>
      <c r="W82" s="255"/>
      <c r="Z82" s="259"/>
      <c r="AA82" s="259"/>
      <c r="AB82" s="259"/>
      <c r="AC82" s="259"/>
      <c r="AD82" s="259"/>
      <c r="AE82" s="259"/>
      <c r="AF82" s="259"/>
      <c r="AG82" s="259"/>
      <c r="AH82" s="259"/>
      <c r="AI82" s="259"/>
      <c r="AJ82" s="259"/>
      <c r="AK82" s="259"/>
      <c r="AL82" s="260"/>
      <c r="AM82" s="260"/>
      <c r="AN82" s="260"/>
      <c r="AO82" s="260"/>
    </row>
    <row r="83" spans="2:41" ht="49.5" customHeight="1" thickBot="1" x14ac:dyDescent="0.25">
      <c r="B83" s="895"/>
      <c r="C83" s="898"/>
      <c r="D83" s="942"/>
      <c r="E83" s="946"/>
      <c r="F83" s="885"/>
      <c r="G83" s="886"/>
      <c r="H83" s="1075"/>
      <c r="I83" s="887"/>
      <c r="J83" s="887"/>
      <c r="K83" s="926"/>
      <c r="L83" s="888"/>
      <c r="M83" s="889"/>
      <c r="N83" s="890"/>
      <c r="O83" s="890"/>
      <c r="P83" s="891"/>
      <c r="Q83" s="255"/>
      <c r="R83" s="255"/>
      <c r="S83" s="255"/>
      <c r="T83" s="255"/>
      <c r="U83" s="255"/>
      <c r="V83" s="255"/>
      <c r="W83" s="255"/>
      <c r="Z83" s="259"/>
      <c r="AA83" s="259"/>
      <c r="AB83" s="259"/>
      <c r="AC83" s="259"/>
      <c r="AD83" s="259"/>
      <c r="AE83" s="259"/>
      <c r="AF83" s="259"/>
      <c r="AG83" s="259"/>
      <c r="AH83" s="259"/>
      <c r="AI83" s="259"/>
      <c r="AJ83" s="259"/>
      <c r="AK83" s="259"/>
      <c r="AL83" s="260"/>
      <c r="AM83" s="260"/>
      <c r="AN83" s="260"/>
      <c r="AO83" s="260"/>
    </row>
    <row r="84" spans="2:41" ht="39" customHeight="1" thickBot="1" x14ac:dyDescent="0.25">
      <c r="B84" s="892"/>
      <c r="C84" s="1076" t="s">
        <v>163</v>
      </c>
      <c r="D84" s="943" t="e">
        <f>SUM(D80:D83)</f>
        <v>#DIV/0!</v>
      </c>
      <c r="E84" s="947" t="e">
        <f ca="1">SUM(E80:E83)</f>
        <v>#DIV/0!</v>
      </c>
      <c r="F84" s="411">
        <f ca="1">ROUND(IFERROR(E84/D84,0),5)</f>
        <v>0</v>
      </c>
      <c r="G84" s="868" t="e">
        <f>SUM(G80:G83)</f>
        <v>#DIV/0!</v>
      </c>
      <c r="H84" s="869">
        <f ca="1">SUM(H80:H83)</f>
        <v>0</v>
      </c>
      <c r="I84" s="879" t="e">
        <f>SUM(G84:H84)</f>
        <v>#DIV/0!</v>
      </c>
      <c r="J84" s="879">
        <f t="shared" ref="J84:P84" ca="1" si="12">SUM(J80:J83)</f>
        <v>98598</v>
      </c>
      <c r="K84" s="927" t="e">
        <f t="shared" ca="1" si="12"/>
        <v>#DIV/0!</v>
      </c>
      <c r="L84" s="385" t="e">
        <f t="shared" ca="1" si="12"/>
        <v>#DIV/0!</v>
      </c>
      <c r="M84" s="880">
        <f t="shared" ca="1" si="12"/>
        <v>0</v>
      </c>
      <c r="N84" s="412" t="e">
        <f t="shared" ca="1" si="12"/>
        <v>#DIV/0!</v>
      </c>
      <c r="O84" s="412">
        <f t="shared" ca="1" si="12"/>
        <v>9859.7999999999993</v>
      </c>
      <c r="P84" s="881" t="e">
        <f t="shared" ca="1" si="12"/>
        <v>#DIV/0!</v>
      </c>
      <c r="Q84" s="255"/>
      <c r="R84" s="255"/>
      <c r="S84" s="255"/>
      <c r="T84" s="255"/>
      <c r="U84" s="255"/>
      <c r="V84" s="255"/>
      <c r="W84" s="255"/>
      <c r="Z84" s="259"/>
      <c r="AA84" s="259"/>
      <c r="AB84" s="259"/>
      <c r="AC84" s="259"/>
      <c r="AD84" s="259"/>
      <c r="AE84" s="259"/>
      <c r="AF84" s="259"/>
      <c r="AG84" s="259"/>
      <c r="AH84" s="259"/>
      <c r="AI84" s="259"/>
      <c r="AJ84" s="259"/>
      <c r="AK84" s="259"/>
      <c r="AL84" s="260"/>
      <c r="AM84" s="260"/>
      <c r="AN84" s="260"/>
      <c r="AO84" s="260"/>
    </row>
    <row r="85" spans="2:41" ht="18" x14ac:dyDescent="0.2">
      <c r="B85" s="256"/>
      <c r="C85" s="247"/>
      <c r="D85" s="247"/>
      <c r="E85" s="413"/>
      <c r="F85" s="247"/>
      <c r="G85" s="247"/>
      <c r="H85" s="247"/>
      <c r="I85" s="245"/>
      <c r="J85" s="246"/>
      <c r="K85" s="414"/>
      <c r="L85" s="246"/>
      <c r="M85" s="414"/>
      <c r="N85" s="246"/>
      <c r="O85" s="247"/>
      <c r="P85" s="247"/>
      <c r="Q85" s="255"/>
      <c r="R85" s="255"/>
      <c r="S85" s="255"/>
      <c r="T85" s="255"/>
      <c r="U85" s="255"/>
      <c r="V85" s="255"/>
      <c r="Y85" s="259"/>
      <c r="Z85" s="259"/>
      <c r="AA85" s="259"/>
      <c r="AB85" s="259"/>
      <c r="AC85" s="259"/>
      <c r="AD85" s="259"/>
      <c r="AE85" s="259"/>
      <c r="AF85" s="259"/>
      <c r="AG85" s="259"/>
      <c r="AH85" s="259"/>
      <c r="AI85" s="259"/>
      <c r="AJ85" s="259"/>
      <c r="AK85" s="260"/>
      <c r="AL85" s="260"/>
      <c r="AM85" s="260"/>
      <c r="AN85" s="260"/>
    </row>
    <row r="86" spans="2:41" ht="18.75" thickBot="1" x14ac:dyDescent="0.25">
      <c r="B86" s="256"/>
      <c r="C86" s="247"/>
      <c r="D86" s="247"/>
      <c r="E86" s="247"/>
      <c r="F86" s="247"/>
      <c r="G86" s="247"/>
      <c r="H86" s="247"/>
      <c r="I86" s="245"/>
      <c r="J86" s="246"/>
      <c r="K86" s="246"/>
      <c r="L86" s="246"/>
      <c r="M86" s="246"/>
      <c r="N86" s="246"/>
      <c r="O86" s="247"/>
      <c r="P86" s="247"/>
      <c r="Q86" s="247"/>
      <c r="R86" s="247"/>
      <c r="S86" s="247"/>
      <c r="T86" s="255"/>
      <c r="U86" s="255"/>
      <c r="V86" s="255"/>
      <c r="Y86" s="259"/>
      <c r="Z86" s="259"/>
      <c r="AA86" s="259"/>
      <c r="AB86" s="259"/>
      <c r="AC86" s="259"/>
      <c r="AD86" s="259"/>
      <c r="AE86" s="259"/>
      <c r="AF86" s="259"/>
      <c r="AG86" s="259"/>
      <c r="AH86" s="259"/>
      <c r="AI86" s="259"/>
      <c r="AJ86" s="259"/>
      <c r="AK86" s="260"/>
      <c r="AL86" s="260"/>
      <c r="AM86" s="260"/>
      <c r="AN86" s="260"/>
    </row>
    <row r="87" spans="2:41" ht="30.75" thickBot="1" x14ac:dyDescent="0.25">
      <c r="B87" s="302" t="s">
        <v>230</v>
      </c>
      <c r="C87" s="303"/>
      <c r="D87" s="303"/>
      <c r="E87" s="303"/>
      <c r="F87" s="303"/>
      <c r="G87" s="303"/>
      <c r="H87" s="303"/>
      <c r="I87" s="303"/>
      <c r="J87" s="303"/>
      <c r="K87" s="303"/>
      <c r="L87" s="303"/>
      <c r="M87" s="303"/>
      <c r="N87" s="303"/>
      <c r="O87" s="303"/>
      <c r="P87" s="303"/>
      <c r="Q87" s="303"/>
      <c r="R87" s="303"/>
      <c r="S87" s="303"/>
      <c r="T87" s="303"/>
      <c r="U87" s="303"/>
      <c r="V87" s="304"/>
      <c r="Y87" s="259"/>
      <c r="Z87" s="259"/>
      <c r="AA87" s="259"/>
      <c r="AB87" s="259"/>
      <c r="AC87" s="259"/>
      <c r="AD87" s="259"/>
      <c r="AE87" s="259"/>
      <c r="AF87" s="259"/>
      <c r="AG87" s="259"/>
      <c r="AH87" s="259"/>
      <c r="AI87" s="259"/>
      <c r="AJ87" s="259"/>
      <c r="AK87" s="260"/>
      <c r="AL87" s="260"/>
      <c r="AM87" s="260"/>
      <c r="AN87" s="260"/>
    </row>
    <row r="88" spans="2:41" ht="18.75" thickBot="1" x14ac:dyDescent="0.25">
      <c r="B88" s="256"/>
      <c r="C88" s="247"/>
      <c r="D88" s="247"/>
      <c r="E88" s="247"/>
      <c r="F88" s="247"/>
      <c r="G88" s="247"/>
      <c r="H88" s="247"/>
      <c r="I88" s="245"/>
      <c r="J88" s="246"/>
      <c r="K88" s="246"/>
      <c r="L88" s="246"/>
      <c r="M88" s="246"/>
      <c r="N88" s="246"/>
      <c r="O88" s="247"/>
      <c r="P88" s="247"/>
      <c r="Q88" s="247"/>
      <c r="R88" s="247"/>
      <c r="S88" s="247"/>
      <c r="T88" s="255"/>
      <c r="U88" s="255"/>
      <c r="V88" s="255"/>
      <c r="Y88" s="259"/>
      <c r="Z88" s="259"/>
      <c r="AA88" s="259"/>
      <c r="AB88" s="259"/>
      <c r="AC88" s="259"/>
      <c r="AD88" s="259"/>
      <c r="AE88" s="259"/>
      <c r="AF88" s="259"/>
      <c r="AG88" s="259"/>
      <c r="AH88" s="259"/>
      <c r="AI88" s="259"/>
      <c r="AJ88" s="259"/>
      <c r="AK88" s="260"/>
      <c r="AL88" s="260"/>
      <c r="AM88" s="260"/>
      <c r="AN88" s="260"/>
    </row>
    <row r="89" spans="2:41" ht="35.25" customHeight="1" thickBot="1" x14ac:dyDescent="0.25">
      <c r="B89" s="361" t="s">
        <v>174</v>
      </c>
      <c r="C89" s="316"/>
      <c r="D89" s="316"/>
      <c r="E89" s="316"/>
      <c r="F89" s="316"/>
      <c r="G89" s="316"/>
      <c r="H89" s="316"/>
      <c r="I89" s="316"/>
      <c r="J89" s="316"/>
      <c r="K89" s="316"/>
      <c r="L89" s="316"/>
      <c r="M89" s="316"/>
      <c r="N89" s="316"/>
      <c r="O89" s="317"/>
      <c r="P89" s="246"/>
      <c r="Q89" s="246"/>
      <c r="R89" s="246"/>
      <c r="S89" s="246"/>
      <c r="T89" s="246"/>
      <c r="U89" s="246"/>
      <c r="V89" s="246"/>
      <c r="Y89" s="259"/>
      <c r="Z89" s="259"/>
      <c r="AA89" s="259"/>
      <c r="AB89" s="259"/>
      <c r="AC89" s="259"/>
      <c r="AD89" s="259"/>
      <c r="AE89" s="259"/>
      <c r="AF89" s="259"/>
      <c r="AG89" s="259"/>
      <c r="AH89" s="259"/>
      <c r="AI89" s="259"/>
      <c r="AJ89" s="259"/>
      <c r="AK89" s="260"/>
      <c r="AL89" s="260"/>
      <c r="AM89" s="260"/>
      <c r="AN89" s="260"/>
    </row>
    <row r="90" spans="2:41" ht="25.5" customHeight="1" thickBot="1" x14ac:dyDescent="0.25">
      <c r="B90" s="1268" t="s">
        <v>175</v>
      </c>
      <c r="C90" s="1271" t="s">
        <v>231</v>
      </c>
      <c r="D90" s="1289" t="s">
        <v>338</v>
      </c>
      <c r="E90" s="1268" t="s">
        <v>336</v>
      </c>
      <c r="F90" s="1277" t="s">
        <v>337</v>
      </c>
      <c r="G90" s="1302" t="s">
        <v>234</v>
      </c>
      <c r="H90" s="1311" t="s">
        <v>235</v>
      </c>
      <c r="I90" s="1312"/>
      <c r="J90" s="1313"/>
      <c r="K90" s="1311" t="s">
        <v>188</v>
      </c>
      <c r="L90" s="1312"/>
      <c r="M90" s="1312"/>
      <c r="N90" s="1312"/>
      <c r="O90" s="1313"/>
      <c r="P90" s="246"/>
      <c r="Q90" s="246"/>
      <c r="R90" s="246"/>
      <c r="S90" s="246"/>
      <c r="T90" s="246"/>
      <c r="U90" s="246"/>
      <c r="V90" s="246"/>
      <c r="Y90" s="259"/>
      <c r="Z90" s="259"/>
      <c r="AA90" s="259"/>
      <c r="AB90" s="259"/>
      <c r="AC90" s="259"/>
      <c r="AD90" s="259"/>
      <c r="AE90" s="259"/>
      <c r="AF90" s="259"/>
      <c r="AG90" s="259"/>
      <c r="AH90" s="259"/>
      <c r="AI90" s="259"/>
      <c r="AJ90" s="259"/>
      <c r="AK90" s="260"/>
      <c r="AL90" s="260"/>
      <c r="AM90" s="260"/>
      <c r="AN90" s="260"/>
    </row>
    <row r="91" spans="2:41" ht="25.5" x14ac:dyDescent="0.2">
      <c r="B91" s="1270"/>
      <c r="C91" s="1275"/>
      <c r="D91" s="1290"/>
      <c r="E91" s="1270"/>
      <c r="F91" s="1279"/>
      <c r="G91" s="1304"/>
      <c r="H91" s="374" t="s">
        <v>339</v>
      </c>
      <c r="I91" s="337" t="s">
        <v>237</v>
      </c>
      <c r="J91" s="339" t="s">
        <v>238</v>
      </c>
      <c r="K91" s="335" t="s">
        <v>340</v>
      </c>
      <c r="L91" s="336" t="s">
        <v>341</v>
      </c>
      <c r="M91" s="335" t="s">
        <v>342</v>
      </c>
      <c r="N91" s="336" t="s">
        <v>343</v>
      </c>
      <c r="O91" s="341" t="s">
        <v>195</v>
      </c>
      <c r="P91" s="415"/>
      <c r="Q91" s="415"/>
      <c r="R91" s="415"/>
      <c r="S91" s="415"/>
      <c r="T91" s="415"/>
      <c r="U91" s="415"/>
      <c r="V91" s="415"/>
      <c r="Y91" s="259"/>
      <c r="Z91" s="259"/>
      <c r="AA91" s="259"/>
      <c r="AB91" s="259"/>
      <c r="AC91" s="259"/>
      <c r="AD91" s="259"/>
      <c r="AE91" s="259"/>
      <c r="AF91" s="259"/>
      <c r="AG91" s="259"/>
      <c r="AH91" s="259"/>
      <c r="AI91" s="259"/>
      <c r="AJ91" s="259"/>
      <c r="AK91" s="260"/>
      <c r="AL91" s="260"/>
      <c r="AM91" s="260"/>
      <c r="AN91" s="260"/>
    </row>
    <row r="92" spans="2:41" ht="21.75" customHeight="1" thickBot="1" x14ac:dyDescent="0.25">
      <c r="B92" s="362"/>
      <c r="C92" s="416"/>
      <c r="D92" s="417"/>
      <c r="E92" s="342" t="s">
        <v>64</v>
      </c>
      <c r="F92" s="343" t="s">
        <v>182</v>
      </c>
      <c r="G92" s="418" t="s">
        <v>158</v>
      </c>
      <c r="H92" s="419" t="s">
        <v>64</v>
      </c>
      <c r="I92" s="1084" t="s">
        <v>183</v>
      </c>
      <c r="J92" s="375" t="s">
        <v>158</v>
      </c>
      <c r="K92" s="721" t="s">
        <v>64</v>
      </c>
      <c r="L92" s="1080" t="s">
        <v>64</v>
      </c>
      <c r="M92" s="1086" t="s">
        <v>158</v>
      </c>
      <c r="N92" s="324" t="s">
        <v>158</v>
      </c>
      <c r="O92" s="345" t="s">
        <v>158</v>
      </c>
      <c r="P92" s="415"/>
      <c r="Q92" s="415"/>
      <c r="R92" s="415"/>
      <c r="S92" s="415"/>
      <c r="T92" s="415"/>
      <c r="U92" s="415"/>
      <c r="V92" s="415"/>
      <c r="Y92" s="259"/>
      <c r="Z92" s="259"/>
      <c r="AA92" s="259"/>
      <c r="AB92" s="259"/>
      <c r="AC92" s="259"/>
      <c r="AD92" s="259"/>
      <c r="AE92" s="259"/>
      <c r="AF92" s="259"/>
      <c r="AG92" s="259"/>
      <c r="AH92" s="259"/>
      <c r="AI92" s="259"/>
      <c r="AJ92" s="259"/>
      <c r="AK92" s="260"/>
      <c r="AL92" s="260"/>
      <c r="AM92" s="260"/>
      <c r="AN92" s="260"/>
    </row>
    <row r="93" spans="2:41" ht="33" customHeight="1" x14ac:dyDescent="0.2">
      <c r="B93" s="421" t="s">
        <v>187</v>
      </c>
      <c r="C93" s="422" t="s">
        <v>120</v>
      </c>
      <c r="D93" s="423" t="s">
        <v>239</v>
      </c>
      <c r="E93" s="424">
        <f>INDEX('Referenčne količine'!$D41:$G41,MATCH(ObračunOB002!$C$3,'Referenčne količine'!$D$6:$G$6))</f>
        <v>33775</v>
      </c>
      <c r="F93" s="1211">
        <f>INDEX('Referenčne količine'!$D44:$G44,MATCH(ObračunOB002!$C$3,'Referenčne količine'!$D$6:$G$6))/1000</f>
        <v>0.16700000000000001</v>
      </c>
      <c r="G93" s="369">
        <f>E93*$F$93</f>
        <v>5640.4250000000002</v>
      </c>
      <c r="H93" s="327" cm="1">
        <f t="array" aca="1" ref="H93" ca="1">INDIRECT($C$3&amp;"!I90")</f>
        <v>0</v>
      </c>
      <c r="I93" s="1211" cm="1">
        <f t="array" aca="1" ref="I93" ca="1">INDIRECT($C$3&amp;"!E76")/1000</f>
        <v>0.16700000000000001</v>
      </c>
      <c r="J93" s="354">
        <f ca="1">H93*$I$93</f>
        <v>0</v>
      </c>
      <c r="K93" s="425">
        <v>0</v>
      </c>
      <c r="L93" s="580">
        <f ca="1">IF(D93="DA",E93-H93,0)</f>
        <v>33775</v>
      </c>
      <c r="M93" s="427">
        <f ca="1">IF(D93="DA",H93*(F93-I93),0)</f>
        <v>0</v>
      </c>
      <c r="N93" s="428">
        <f ca="1">IF(D93="DA",E93*$F$93-H93*$I$93,0)</f>
        <v>5640.4250000000002</v>
      </c>
      <c r="O93" s="349">
        <f ca="1">SUM(M93:N93)</f>
        <v>5640.4250000000002</v>
      </c>
      <c r="P93" s="251"/>
      <c r="Q93" s="251"/>
      <c r="R93" s="251"/>
      <c r="S93" s="251"/>
      <c r="T93" s="251"/>
      <c r="U93" s="251"/>
      <c r="V93" s="251"/>
      <c r="Y93" s="259"/>
      <c r="Z93" s="259"/>
      <c r="AA93" s="259"/>
      <c r="AB93" s="259"/>
      <c r="AC93" s="259"/>
      <c r="AD93" s="259"/>
      <c r="AE93" s="259"/>
      <c r="AF93" s="259"/>
      <c r="AG93" s="259"/>
      <c r="AH93" s="259"/>
      <c r="AI93" s="259"/>
      <c r="AJ93" s="259"/>
      <c r="AK93" s="260"/>
      <c r="AL93" s="260"/>
      <c r="AM93" s="260"/>
      <c r="AN93" s="260"/>
    </row>
    <row r="94" spans="2:41" ht="33" customHeight="1" x14ac:dyDescent="0.2">
      <c r="B94" s="577" t="s">
        <v>187</v>
      </c>
      <c r="C94" s="572" t="s">
        <v>300</v>
      </c>
      <c r="D94" s="573" t="s">
        <v>239</v>
      </c>
      <c r="E94" s="574">
        <f>INDEX('Referenčne količine'!$D42:$G42,MATCH(ObračunOB002!$C$3,'Referenčne količine'!$D$6:$G$6))</f>
        <v>0</v>
      </c>
      <c r="F94" s="1212"/>
      <c r="G94" s="328">
        <f t="shared" ref="G94:G95" si="13">E94*$F$93</f>
        <v>0</v>
      </c>
      <c r="H94" s="327" cm="1">
        <f t="array" aca="1" ref="H94" ca="1">INDIRECT($C$3&amp;"!J90")</f>
        <v>0</v>
      </c>
      <c r="I94" s="1212"/>
      <c r="J94" s="354">
        <f t="shared" ref="J94:J95" ca="1" si="14">H94*$I$93</f>
        <v>0</v>
      </c>
      <c r="K94" s="425">
        <v>0</v>
      </c>
      <c r="L94" s="575">
        <f ca="1">IF(D94="DA",E94-H94,0)</f>
        <v>0</v>
      </c>
      <c r="M94" s="434">
        <f ca="1">IF(D94="DA",H94*(F94-I94),0)</f>
        <v>0</v>
      </c>
      <c r="N94" s="576">
        <f ca="1">IF(D94="DA",E94*$F$93-H94*$I$93,0)</f>
        <v>0</v>
      </c>
      <c r="O94" s="581">
        <f t="shared" ref="O94:O95" ca="1" si="15">SUM(M94:N94)</f>
        <v>0</v>
      </c>
      <c r="P94" s="251"/>
      <c r="Q94" s="251"/>
      <c r="R94" s="251"/>
      <c r="S94" s="251"/>
      <c r="T94" s="251"/>
      <c r="U94" s="251"/>
      <c r="V94" s="251"/>
      <c r="Y94" s="259"/>
      <c r="Z94" s="259"/>
      <c r="AA94" s="259"/>
      <c r="AB94" s="259"/>
      <c r="AC94" s="259"/>
      <c r="AD94" s="259"/>
      <c r="AE94" s="259"/>
      <c r="AF94" s="259"/>
      <c r="AG94" s="259"/>
      <c r="AH94" s="259"/>
      <c r="AI94" s="259"/>
      <c r="AJ94" s="259"/>
      <c r="AK94" s="260"/>
      <c r="AL94" s="260"/>
      <c r="AM94" s="260"/>
      <c r="AN94" s="260"/>
    </row>
    <row r="95" spans="2:41" ht="30.75" thickBot="1" x14ac:dyDescent="0.25">
      <c r="B95" s="429" t="s">
        <v>418</v>
      </c>
      <c r="C95" s="430" t="s">
        <v>240</v>
      </c>
      <c r="D95" s="431" t="s">
        <v>241</v>
      </c>
      <c r="E95" s="432">
        <f>INDEX('Referenčne količine'!$D43:$G43,MATCH(ObračunOB002!$C$3,'Referenčne količine'!$D$6:$G$6))</f>
        <v>49896.36</v>
      </c>
      <c r="F95" s="1213"/>
      <c r="G95" s="371">
        <f t="shared" si="13"/>
        <v>8332.6921199999997</v>
      </c>
      <c r="H95" s="327" cm="1">
        <f t="array" aca="1" ref="H95" ca="1">INDIRECT($C$3&amp;"!K90")</f>
        <v>0</v>
      </c>
      <c r="I95" s="1314"/>
      <c r="J95" s="380">
        <f t="shared" ca="1" si="14"/>
        <v>0</v>
      </c>
      <c r="K95" s="425">
        <f>IF(D95="DA",E95-H95,0)</f>
        <v>0</v>
      </c>
      <c r="L95" s="433"/>
      <c r="M95" s="434">
        <f>IF(D95="DA",G95-J95,0)</f>
        <v>0</v>
      </c>
      <c r="N95" s="435"/>
      <c r="O95" s="457">
        <f t="shared" si="15"/>
        <v>0</v>
      </c>
      <c r="P95" s="251"/>
      <c r="Q95" s="251"/>
      <c r="R95" s="251"/>
      <c r="S95" s="251"/>
      <c r="T95" s="251"/>
      <c r="U95" s="251"/>
      <c r="V95" s="251"/>
      <c r="Y95" s="259"/>
      <c r="Z95" s="259"/>
      <c r="AA95" s="259"/>
      <c r="AB95" s="259"/>
      <c r="AC95" s="259"/>
      <c r="AD95" s="259"/>
      <c r="AE95" s="259"/>
      <c r="AF95" s="259"/>
      <c r="AG95" s="259"/>
      <c r="AH95" s="259"/>
      <c r="AI95" s="259"/>
      <c r="AJ95" s="259"/>
      <c r="AK95" s="260"/>
      <c r="AL95" s="260"/>
      <c r="AM95" s="260"/>
      <c r="AN95" s="260"/>
    </row>
    <row r="96" spans="2:41" ht="33" customHeight="1" thickBot="1" x14ac:dyDescent="0.25">
      <c r="B96" s="1203" t="s">
        <v>163</v>
      </c>
      <c r="C96" s="1204"/>
      <c r="D96" s="1205"/>
      <c r="E96" s="330">
        <f>SUM(E93:E95)</f>
        <v>83671.360000000001</v>
      </c>
      <c r="F96" s="331"/>
      <c r="G96" s="334">
        <f>SUM(G93:G95)</f>
        <v>13973.117119999999</v>
      </c>
      <c r="H96" s="436">
        <f ca="1">SUM(H93:H95)</f>
        <v>0</v>
      </c>
      <c r="I96" s="437"/>
      <c r="J96" s="438">
        <f t="shared" ref="J96:O96" ca="1" si="16">SUM(J93:J95)</f>
        <v>0</v>
      </c>
      <c r="K96" s="439">
        <f t="shared" si="16"/>
        <v>0</v>
      </c>
      <c r="L96" s="440">
        <f t="shared" ca="1" si="16"/>
        <v>33775</v>
      </c>
      <c r="M96" s="441">
        <f t="shared" ca="1" si="16"/>
        <v>0</v>
      </c>
      <c r="N96" s="441">
        <f t="shared" ca="1" si="16"/>
        <v>5640.4250000000002</v>
      </c>
      <c r="O96" s="359">
        <f t="shared" ca="1" si="16"/>
        <v>5640.4250000000002</v>
      </c>
      <c r="P96" s="246"/>
      <c r="Q96" s="246"/>
      <c r="R96" s="246"/>
      <c r="S96" s="246"/>
      <c r="T96" s="246"/>
      <c r="U96" s="246"/>
      <c r="V96" s="246"/>
      <c r="Y96" s="259"/>
      <c r="Z96" s="259"/>
      <c r="AA96" s="259"/>
      <c r="AB96" s="259"/>
      <c r="AC96" s="259"/>
      <c r="AD96" s="259"/>
      <c r="AE96" s="259"/>
      <c r="AF96" s="259"/>
      <c r="AG96" s="259"/>
      <c r="AH96" s="259"/>
      <c r="AI96" s="259"/>
      <c r="AJ96" s="259"/>
      <c r="AK96" s="260"/>
      <c r="AL96" s="260"/>
      <c r="AM96" s="260"/>
      <c r="AN96" s="260"/>
    </row>
    <row r="97" spans="2:40" ht="15.75" thickBot="1" x14ac:dyDescent="0.25">
      <c r="B97" s="248" t="s">
        <v>196</v>
      </c>
      <c r="Y97" s="259"/>
      <c r="Z97" s="259"/>
      <c r="AA97" s="259"/>
      <c r="AB97" s="259"/>
      <c r="AC97" s="259"/>
      <c r="AD97" s="259"/>
      <c r="AE97" s="259"/>
      <c r="AF97" s="259"/>
      <c r="AG97" s="259"/>
      <c r="AH97" s="259"/>
      <c r="AI97" s="259"/>
      <c r="AJ97" s="259"/>
      <c r="AK97" s="260"/>
      <c r="AL97" s="260"/>
      <c r="AM97" s="260"/>
      <c r="AN97" s="260"/>
    </row>
    <row r="98" spans="2:40" ht="18.75" thickBot="1" x14ac:dyDescent="0.25">
      <c r="B98" s="361" t="s">
        <v>197</v>
      </c>
      <c r="C98" s="316"/>
      <c r="D98" s="316"/>
      <c r="E98" s="316"/>
      <c r="F98" s="316"/>
      <c r="G98" s="316"/>
      <c r="H98" s="316"/>
      <c r="I98" s="316"/>
      <c r="J98" s="316"/>
      <c r="K98" s="316"/>
      <c r="L98" s="316"/>
      <c r="M98" s="316"/>
      <c r="N98" s="316"/>
      <c r="O98" s="317"/>
      <c r="Y98" s="259"/>
      <c r="Z98" s="259"/>
      <c r="AA98" s="259"/>
      <c r="AB98" s="259"/>
      <c r="AC98" s="259"/>
      <c r="AD98" s="259"/>
      <c r="AE98" s="259"/>
      <c r="AF98" s="259"/>
      <c r="AG98" s="259"/>
      <c r="AH98" s="259"/>
      <c r="AI98" s="259"/>
      <c r="AJ98" s="259"/>
      <c r="AK98" s="260"/>
      <c r="AL98" s="260"/>
      <c r="AM98" s="260"/>
      <c r="AN98" s="260"/>
    </row>
    <row r="99" spans="2:40" ht="28.5" customHeight="1" thickBot="1" x14ac:dyDescent="0.25">
      <c r="B99" s="1268" t="s">
        <v>175</v>
      </c>
      <c r="C99" s="1271" t="s">
        <v>231</v>
      </c>
      <c r="D99" s="1289" t="s">
        <v>199</v>
      </c>
      <c r="E99" s="1268" t="s">
        <v>232</v>
      </c>
      <c r="F99" s="1277" t="s">
        <v>233</v>
      </c>
      <c r="G99" s="1302" t="s">
        <v>234</v>
      </c>
      <c r="H99" s="1311" t="s">
        <v>235</v>
      </c>
      <c r="I99" s="1312"/>
      <c r="J99" s="1313"/>
      <c r="K99" s="1311" t="s">
        <v>188</v>
      </c>
      <c r="L99" s="1312"/>
      <c r="M99" s="1312"/>
      <c r="N99" s="1312"/>
      <c r="O99" s="1313"/>
      <c r="Y99" s="259"/>
      <c r="Z99" s="259"/>
      <c r="AA99" s="259"/>
      <c r="AB99" s="259"/>
      <c r="AC99" s="259"/>
      <c r="AD99" s="259"/>
      <c r="AE99" s="259"/>
      <c r="AF99" s="259"/>
      <c r="AG99" s="259"/>
      <c r="AH99" s="259"/>
      <c r="AI99" s="259"/>
      <c r="AJ99" s="259"/>
      <c r="AK99" s="260"/>
      <c r="AL99" s="260"/>
      <c r="AM99" s="260"/>
      <c r="AN99" s="260"/>
    </row>
    <row r="100" spans="2:40" ht="38.25" x14ac:dyDescent="0.2">
      <c r="B100" s="1270"/>
      <c r="C100" s="1275"/>
      <c r="D100" s="1290"/>
      <c r="E100" s="1270"/>
      <c r="F100" s="1279"/>
      <c r="G100" s="1304"/>
      <c r="H100" s="374" t="s">
        <v>236</v>
      </c>
      <c r="I100" s="337" t="s">
        <v>237</v>
      </c>
      <c r="J100" s="339" t="s">
        <v>238</v>
      </c>
      <c r="K100" s="335" t="s">
        <v>344</v>
      </c>
      <c r="L100" s="336" t="s">
        <v>345</v>
      </c>
      <c r="M100" s="335" t="s">
        <v>346</v>
      </c>
      <c r="N100" s="336" t="s">
        <v>347</v>
      </c>
      <c r="O100" s="341" t="s">
        <v>195</v>
      </c>
      <c r="Y100" s="259"/>
      <c r="Z100" s="259"/>
      <c r="AA100" s="259"/>
      <c r="AB100" s="259"/>
      <c r="AC100" s="259"/>
      <c r="AD100" s="259"/>
      <c r="AE100" s="259"/>
      <c r="AF100" s="259"/>
      <c r="AG100" s="259"/>
      <c r="AH100" s="259"/>
      <c r="AI100" s="259"/>
      <c r="AJ100" s="259"/>
      <c r="AK100" s="260"/>
      <c r="AL100" s="260"/>
      <c r="AM100" s="260"/>
      <c r="AN100" s="260"/>
    </row>
    <row r="101" spans="2:40" ht="15.75" thickBot="1" x14ac:dyDescent="0.25">
      <c r="B101" s="362"/>
      <c r="C101" s="442"/>
      <c r="D101" s="443"/>
      <c r="E101" s="342" t="s">
        <v>64</v>
      </c>
      <c r="F101" s="343" t="s">
        <v>182</v>
      </c>
      <c r="G101" s="418" t="s">
        <v>158</v>
      </c>
      <c r="H101" s="419" t="s">
        <v>64</v>
      </c>
      <c r="I101" s="1084" t="s">
        <v>183</v>
      </c>
      <c r="J101" s="375" t="s">
        <v>158</v>
      </c>
      <c r="K101" s="721" t="s">
        <v>64</v>
      </c>
      <c r="L101" s="1080" t="s">
        <v>64</v>
      </c>
      <c r="M101" s="1086" t="s">
        <v>158</v>
      </c>
      <c r="N101" s="324" t="s">
        <v>158</v>
      </c>
      <c r="O101" s="345" t="s">
        <v>158</v>
      </c>
      <c r="Y101" s="259"/>
      <c r="Z101" s="259"/>
      <c r="AA101" s="259"/>
      <c r="AB101" s="259"/>
      <c r="AC101" s="259"/>
      <c r="AD101" s="259"/>
      <c r="AE101" s="259"/>
      <c r="AF101" s="259"/>
      <c r="AG101" s="259"/>
      <c r="AH101" s="259"/>
      <c r="AI101" s="259"/>
      <c r="AJ101" s="259"/>
      <c r="AK101" s="260"/>
      <c r="AL101" s="260"/>
      <c r="AM101" s="260"/>
      <c r="AN101" s="260"/>
    </row>
    <row r="102" spans="2:40" ht="42" customHeight="1" x14ac:dyDescent="0.2">
      <c r="B102" s="421" t="s">
        <v>187</v>
      </c>
      <c r="C102" s="444" t="s">
        <v>120</v>
      </c>
      <c r="D102" s="445">
        <v>1</v>
      </c>
      <c r="E102" s="578">
        <f>D102*E93</f>
        <v>33775</v>
      </c>
      <c r="F102" s="1340">
        <f>F93</f>
        <v>0.16700000000000001</v>
      </c>
      <c r="G102" s="369">
        <f>E102*$F$102</f>
        <v>5640.4250000000002</v>
      </c>
      <c r="H102" s="370">
        <f ca="1">D102*H93</f>
        <v>0</v>
      </c>
      <c r="I102" s="1340">
        <f ca="1">I93</f>
        <v>0.16700000000000001</v>
      </c>
      <c r="J102" s="354">
        <f ca="1">H102*$I$102</f>
        <v>0</v>
      </c>
      <c r="K102" s="425">
        <v>0</v>
      </c>
      <c r="L102" s="426">
        <f ca="1">E102-H102</f>
        <v>33775</v>
      </c>
      <c r="M102" s="427">
        <f ca="1">H102*(F102-I102)</f>
        <v>0</v>
      </c>
      <c r="N102" s="428">
        <f ca="1">L102*$F$102</f>
        <v>5640.4250000000002</v>
      </c>
      <c r="O102" s="349">
        <f ca="1">SUM(M102:N102)</f>
        <v>5640.4250000000002</v>
      </c>
      <c r="Y102" s="259"/>
      <c r="Z102" s="259"/>
      <c r="AA102" s="259"/>
      <c r="AB102" s="259"/>
      <c r="AC102" s="259"/>
      <c r="AD102" s="259"/>
      <c r="AE102" s="259"/>
      <c r="AF102" s="259"/>
      <c r="AG102" s="259"/>
      <c r="AH102" s="259"/>
      <c r="AI102" s="259"/>
      <c r="AJ102" s="259"/>
      <c r="AK102" s="260"/>
      <c r="AL102" s="260"/>
      <c r="AM102" s="260"/>
      <c r="AN102" s="260"/>
    </row>
    <row r="103" spans="2:40" ht="42" customHeight="1" x14ac:dyDescent="0.2">
      <c r="B103" s="577" t="s">
        <v>187</v>
      </c>
      <c r="C103" s="572" t="s">
        <v>300</v>
      </c>
      <c r="D103" s="756">
        <v>1</v>
      </c>
      <c r="E103" s="566">
        <f>D103*E94</f>
        <v>0</v>
      </c>
      <c r="F103" s="1341"/>
      <c r="G103" s="567">
        <f>E103*$F$102</f>
        <v>0</v>
      </c>
      <c r="H103" s="370">
        <f ca="1">D103*H94</f>
        <v>0</v>
      </c>
      <c r="I103" s="1341"/>
      <c r="J103" s="354">
        <f ca="1">H103*$I$102</f>
        <v>0</v>
      </c>
      <c r="K103" s="425">
        <v>0</v>
      </c>
      <c r="L103" s="575">
        <f ca="1">E103-H103</f>
        <v>0</v>
      </c>
      <c r="M103" s="434">
        <f ca="1">H103*(F103-I103)</f>
        <v>0</v>
      </c>
      <c r="N103" s="576">
        <f ca="1">L103*$F$102</f>
        <v>0</v>
      </c>
      <c r="O103" s="581">
        <f t="shared" ref="O103:O104" ca="1" si="17">SUM(M103:N103)</f>
        <v>0</v>
      </c>
      <c r="Y103" s="259"/>
      <c r="Z103" s="259"/>
      <c r="AA103" s="259"/>
      <c r="AB103" s="259"/>
      <c r="AC103" s="259"/>
      <c r="AD103" s="259"/>
      <c r="AE103" s="259"/>
      <c r="AF103" s="259"/>
      <c r="AG103" s="259"/>
      <c r="AH103" s="259"/>
      <c r="AI103" s="259"/>
      <c r="AJ103" s="259"/>
      <c r="AK103" s="260"/>
      <c r="AL103" s="260"/>
      <c r="AM103" s="260"/>
      <c r="AN103" s="260"/>
    </row>
    <row r="104" spans="2:40" ht="42" customHeight="1" thickBot="1" x14ac:dyDescent="0.25">
      <c r="B104" s="429" t="s">
        <v>418</v>
      </c>
      <c r="C104" s="446" t="s">
        <v>240</v>
      </c>
      <c r="D104" s="447">
        <v>1</v>
      </c>
      <c r="E104" s="579">
        <f>D104*E95</f>
        <v>49896.36</v>
      </c>
      <c r="F104" s="1346"/>
      <c r="G104" s="371">
        <f>E104*F102</f>
        <v>8332.6921199999997</v>
      </c>
      <c r="H104" s="370">
        <f ca="1">D104*H95</f>
        <v>0</v>
      </c>
      <c r="I104" s="1342"/>
      <c r="J104" s="380">
        <f ca="1">H104*$I$102</f>
        <v>0</v>
      </c>
      <c r="K104" s="425">
        <f ca="1">E104-H104</f>
        <v>49896.36</v>
      </c>
      <c r="L104" s="433"/>
      <c r="M104" s="434">
        <f ca="1">G104-J104</f>
        <v>8332.6921199999997</v>
      </c>
      <c r="N104" s="435"/>
      <c r="O104" s="457">
        <f t="shared" ca="1" si="17"/>
        <v>8332.6921199999997</v>
      </c>
      <c r="Y104" s="259"/>
      <c r="Z104" s="259"/>
      <c r="AA104" s="259"/>
      <c r="AB104" s="259"/>
      <c r="AC104" s="259"/>
      <c r="AD104" s="259"/>
      <c r="AE104" s="259"/>
      <c r="AF104" s="259"/>
      <c r="AG104" s="259"/>
      <c r="AH104" s="259"/>
      <c r="AI104" s="259"/>
      <c r="AJ104" s="259"/>
      <c r="AK104" s="260"/>
      <c r="AL104" s="260"/>
      <c r="AM104" s="260"/>
      <c r="AN104" s="260"/>
    </row>
    <row r="105" spans="2:40" ht="27" customHeight="1" thickBot="1" x14ac:dyDescent="0.25">
      <c r="B105" s="1203" t="s">
        <v>163</v>
      </c>
      <c r="C105" s="1204"/>
      <c r="D105" s="1205"/>
      <c r="E105" s="330">
        <f>SUM(E102:E104)</f>
        <v>83671.360000000001</v>
      </c>
      <c r="F105" s="331"/>
      <c r="G105" s="334">
        <f>SUM(G102:G104)</f>
        <v>13973.117119999999</v>
      </c>
      <c r="H105" s="436">
        <f ca="1">SUM(H102:H104)</f>
        <v>0</v>
      </c>
      <c r="I105" s="437"/>
      <c r="J105" s="438">
        <f t="shared" ref="J105:L105" ca="1" si="18">SUM(J102:J104)</f>
        <v>0</v>
      </c>
      <c r="K105" s="439">
        <f t="shared" ca="1" si="18"/>
        <v>49896.36</v>
      </c>
      <c r="L105" s="440">
        <f t="shared" ca="1" si="18"/>
        <v>33775</v>
      </c>
      <c r="M105" s="441">
        <f ca="1">SUM(M102:M104)</f>
        <v>8332.6921199999997</v>
      </c>
      <c r="N105" s="441">
        <f ca="1">SUM(N102:N104)</f>
        <v>5640.4250000000002</v>
      </c>
      <c r="O105" s="359">
        <f ca="1">SUM(O102:O104)</f>
        <v>13973.117119999999</v>
      </c>
      <c r="Y105" s="259"/>
      <c r="Z105" s="259"/>
      <c r="AA105" s="259"/>
      <c r="AB105" s="259"/>
      <c r="AC105" s="259"/>
      <c r="AD105" s="259"/>
      <c r="AE105" s="259"/>
      <c r="AF105" s="259"/>
      <c r="AG105" s="259"/>
      <c r="AH105" s="259"/>
      <c r="AI105" s="259"/>
      <c r="AJ105" s="259"/>
      <c r="AK105" s="260"/>
      <c r="AL105" s="260"/>
      <c r="AM105" s="260"/>
      <c r="AN105" s="260"/>
    </row>
    <row r="106" spans="2:40" ht="15.75" thickBot="1" x14ac:dyDescent="0.25">
      <c r="Y106" s="448"/>
      <c r="Z106" s="259"/>
      <c r="AA106" s="259"/>
      <c r="AB106" s="259"/>
      <c r="AC106" s="259"/>
      <c r="AD106" s="259"/>
      <c r="AE106" s="259"/>
      <c r="AF106" s="259"/>
      <c r="AG106" s="259"/>
      <c r="AH106" s="259"/>
      <c r="AI106" s="259"/>
      <c r="AJ106" s="259"/>
      <c r="AK106" s="260"/>
      <c r="AL106" s="260"/>
      <c r="AM106" s="260"/>
      <c r="AN106" s="260"/>
    </row>
    <row r="107" spans="2:40" ht="18.75" thickBot="1" x14ac:dyDescent="0.25">
      <c r="B107" s="361" t="s">
        <v>202</v>
      </c>
      <c r="C107" s="316"/>
      <c r="D107" s="316"/>
      <c r="E107" s="316"/>
      <c r="F107" s="316"/>
      <c r="G107" s="316"/>
      <c r="H107" s="316"/>
      <c r="I107" s="316"/>
      <c r="J107" s="316"/>
      <c r="K107" s="316"/>
      <c r="L107" s="316"/>
      <c r="M107" s="316"/>
      <c r="N107" s="316"/>
      <c r="O107" s="316"/>
      <c r="P107" s="316"/>
      <c r="Q107" s="316"/>
      <c r="R107" s="316"/>
      <c r="S107" s="317"/>
      <c r="Y107" s="448"/>
      <c r="Z107" s="449"/>
      <c r="AA107" s="449"/>
      <c r="AB107" s="449"/>
      <c r="AC107" s="449"/>
      <c r="AD107" s="449"/>
      <c r="AE107" s="449"/>
      <c r="AF107" s="449"/>
      <c r="AG107" s="449"/>
      <c r="AH107" s="449"/>
      <c r="AI107" s="449"/>
      <c r="AJ107" s="259"/>
      <c r="AK107" s="260"/>
      <c r="AL107" s="260"/>
      <c r="AM107" s="260"/>
      <c r="AN107" s="260"/>
    </row>
    <row r="108" spans="2:40" ht="15" customHeight="1" thickBot="1" x14ac:dyDescent="0.25">
      <c r="B108" s="1268" t="s">
        <v>175</v>
      </c>
      <c r="C108" s="1271" t="s">
        <v>231</v>
      </c>
      <c r="D108" s="1289" t="s">
        <v>188</v>
      </c>
      <c r="E108" s="1311" t="s">
        <v>242</v>
      </c>
      <c r="F108" s="1312"/>
      <c r="G108" s="1312"/>
      <c r="H108" s="1312"/>
      <c r="I108" s="1311" t="s">
        <v>243</v>
      </c>
      <c r="J108" s="1312"/>
      <c r="K108" s="1312"/>
      <c r="L108" s="1311" t="s">
        <v>223</v>
      </c>
      <c r="M108" s="1313"/>
      <c r="N108" s="1326" t="s">
        <v>224</v>
      </c>
      <c r="O108" s="1327"/>
      <c r="P108" s="1327"/>
      <c r="Q108" s="1327"/>
      <c r="R108" s="1327"/>
      <c r="S108" s="1328"/>
      <c r="Y108" s="259"/>
      <c r="Z108" s="450"/>
      <c r="AA108" s="450"/>
      <c r="AB108" s="450"/>
      <c r="AC108" s="450"/>
      <c r="AD108" s="450"/>
      <c r="AE108" s="450"/>
      <c r="AF108" s="450"/>
      <c r="AG108" s="450"/>
      <c r="AH108" s="450"/>
      <c r="AI108" s="450"/>
      <c r="AJ108" s="259"/>
      <c r="AK108" s="260"/>
      <c r="AL108" s="260"/>
      <c r="AM108" s="260"/>
      <c r="AN108" s="260"/>
    </row>
    <row r="109" spans="2:40" ht="69" customHeight="1" x14ac:dyDescent="0.2">
      <c r="B109" s="1270"/>
      <c r="C109" s="1275"/>
      <c r="D109" s="1290"/>
      <c r="E109" s="374" t="s">
        <v>245</v>
      </c>
      <c r="F109" s="374" t="s">
        <v>246</v>
      </c>
      <c r="G109" s="374" t="s">
        <v>247</v>
      </c>
      <c r="H109" s="339" t="s">
        <v>237</v>
      </c>
      <c r="I109" s="335" t="s">
        <v>248</v>
      </c>
      <c r="J109" s="336" t="s">
        <v>249</v>
      </c>
      <c r="K109" s="340" t="s">
        <v>250</v>
      </c>
      <c r="L109" s="335" t="s">
        <v>251</v>
      </c>
      <c r="M109" s="339" t="s">
        <v>252</v>
      </c>
      <c r="N109" s="335" t="s">
        <v>344</v>
      </c>
      <c r="O109" s="336" t="s">
        <v>345</v>
      </c>
      <c r="P109" s="335" t="s">
        <v>346</v>
      </c>
      <c r="Q109" s="336" t="s">
        <v>347</v>
      </c>
      <c r="R109" s="408" t="s">
        <v>244</v>
      </c>
      <c r="S109" s="408" t="s">
        <v>229</v>
      </c>
      <c r="Y109" s="347"/>
      <c r="Z109" s="259"/>
      <c r="AA109" s="259"/>
      <c r="AB109" s="259"/>
      <c r="AC109" s="259"/>
      <c r="AD109" s="259"/>
      <c r="AE109" s="259"/>
      <c r="AF109" s="259"/>
      <c r="AG109" s="259"/>
      <c r="AH109" s="259"/>
      <c r="AI109" s="259"/>
      <c r="AJ109" s="259"/>
      <c r="AK109" s="260"/>
      <c r="AL109" s="260"/>
      <c r="AM109" s="260"/>
      <c r="AN109" s="260"/>
    </row>
    <row r="110" spans="2:40" ht="15.75" thickBot="1" x14ac:dyDescent="0.25">
      <c r="B110" s="362"/>
      <c r="C110" s="442"/>
      <c r="D110" s="417"/>
      <c r="E110" s="419" t="s">
        <v>64</v>
      </c>
      <c r="F110" s="419" t="s">
        <v>64</v>
      </c>
      <c r="G110" s="419" t="s">
        <v>64</v>
      </c>
      <c r="H110" s="551" t="s">
        <v>183</v>
      </c>
      <c r="I110" s="721"/>
      <c r="J110" s="324" t="s">
        <v>64</v>
      </c>
      <c r="K110" s="344" t="s">
        <v>158</v>
      </c>
      <c r="L110" s="419" t="s">
        <v>64</v>
      </c>
      <c r="M110" s="419" t="s">
        <v>158</v>
      </c>
      <c r="N110" s="721" t="s">
        <v>64</v>
      </c>
      <c r="O110" s="1080" t="s">
        <v>64</v>
      </c>
      <c r="P110" s="1086" t="s">
        <v>158</v>
      </c>
      <c r="Q110" s="324" t="s">
        <v>158</v>
      </c>
      <c r="R110" s="451" t="s">
        <v>158</v>
      </c>
      <c r="S110" s="398" t="s">
        <v>158</v>
      </c>
      <c r="Y110" s="352"/>
      <c r="Z110" s="259"/>
      <c r="AA110" s="259"/>
      <c r="AB110" s="259"/>
      <c r="AC110" s="259"/>
      <c r="AD110" s="259"/>
      <c r="AE110" s="259"/>
      <c r="AF110" s="259"/>
      <c r="AG110" s="259"/>
      <c r="AH110" s="259"/>
      <c r="AI110" s="259"/>
      <c r="AJ110" s="259"/>
      <c r="AK110" s="260"/>
      <c r="AL110" s="260"/>
      <c r="AM110" s="260"/>
      <c r="AN110" s="260"/>
    </row>
    <row r="111" spans="2:40" ht="33" customHeight="1" x14ac:dyDescent="0.2">
      <c r="B111" s="421" t="s">
        <v>187</v>
      </c>
      <c r="C111" s="444" t="s">
        <v>120</v>
      </c>
      <c r="D111" s="583" t="str">
        <f>D93</f>
        <v>DA</v>
      </c>
      <c r="E111" s="1331">
        <v>0</v>
      </c>
      <c r="F111" s="1334">
        <v>0</v>
      </c>
      <c r="G111" s="1337">
        <f>E111-F111</f>
        <v>0</v>
      </c>
      <c r="H111" s="1340">
        <f ca="1">I102</f>
        <v>0.16700000000000001</v>
      </c>
      <c r="I111" s="1343">
        <v>1</v>
      </c>
      <c r="J111" s="1337">
        <f>G111*I111</f>
        <v>0</v>
      </c>
      <c r="K111" s="1317">
        <f ca="1">J111*H111</f>
        <v>0</v>
      </c>
      <c r="L111" s="453">
        <f ca="1">H102</f>
        <v>0</v>
      </c>
      <c r="M111" s="354">
        <f ca="1">L111*H111</f>
        <v>0</v>
      </c>
      <c r="N111" s="425">
        <v>0</v>
      </c>
      <c r="O111" s="453">
        <f ca="1">IF(D111="DA",L102,0)</f>
        <v>33775</v>
      </c>
      <c r="P111" s="427">
        <f ca="1">IF(D111="DA",L111*(F102-H111),0)</f>
        <v>0</v>
      </c>
      <c r="Q111" s="428">
        <f ca="1">G102-L111*H111</f>
        <v>5640.4250000000002</v>
      </c>
      <c r="R111" s="349">
        <f ca="1">SUM(P111:Q111)</f>
        <v>5640.4250000000002</v>
      </c>
      <c r="S111" s="584">
        <f ca="1">R111-O102</f>
        <v>0</v>
      </c>
      <c r="Y111" s="259"/>
      <c r="Z111" s="454"/>
      <c r="AA111" s="454"/>
      <c r="AB111" s="454"/>
      <c r="AC111" s="454"/>
      <c r="AD111" s="454"/>
      <c r="AE111" s="454"/>
      <c r="AF111" s="454"/>
      <c r="AG111" s="454"/>
      <c r="AH111" s="454"/>
      <c r="AI111" s="454"/>
      <c r="AJ111" s="259"/>
      <c r="AK111" s="260"/>
      <c r="AL111" s="260"/>
      <c r="AM111" s="260"/>
      <c r="AN111" s="260"/>
    </row>
    <row r="112" spans="2:40" ht="33" customHeight="1" x14ac:dyDescent="0.2">
      <c r="B112" s="577" t="s">
        <v>187</v>
      </c>
      <c r="C112" s="572" t="s">
        <v>300</v>
      </c>
      <c r="D112" s="582" t="s">
        <v>239</v>
      </c>
      <c r="E112" s="1332"/>
      <c r="F112" s="1335"/>
      <c r="G112" s="1338"/>
      <c r="H112" s="1341"/>
      <c r="I112" s="1344"/>
      <c r="J112" s="1338"/>
      <c r="K112" s="1318"/>
      <c r="L112" s="455">
        <f ca="1">H103</f>
        <v>0</v>
      </c>
      <c r="M112" s="354">
        <f ca="1">L112*H111</f>
        <v>0</v>
      </c>
      <c r="N112" s="425">
        <v>0</v>
      </c>
      <c r="O112" s="455">
        <f ca="1">IF(D112="DA",L103,0)</f>
        <v>0</v>
      </c>
      <c r="P112" s="434">
        <f ca="1">IF(D112="DA",L112*(F103-H112),0)</f>
        <v>0</v>
      </c>
      <c r="Q112" s="576">
        <f ca="1">G103-L112*H111</f>
        <v>0</v>
      </c>
      <c r="R112" s="457">
        <f ca="1">SUM(P112:Q112)</f>
        <v>0</v>
      </c>
      <c r="S112" s="585">
        <f ca="1">R112-O103</f>
        <v>0</v>
      </c>
      <c r="Y112" s="259"/>
      <c r="Z112" s="454"/>
      <c r="AA112" s="454"/>
      <c r="AB112" s="454"/>
      <c r="AC112" s="454"/>
      <c r="AD112" s="454"/>
      <c r="AE112" s="454"/>
      <c r="AF112" s="454"/>
      <c r="AG112" s="454"/>
      <c r="AH112" s="454"/>
      <c r="AI112" s="454"/>
      <c r="AJ112" s="259"/>
      <c r="AK112" s="260"/>
      <c r="AL112" s="260"/>
      <c r="AM112" s="260"/>
      <c r="AN112" s="260"/>
    </row>
    <row r="113" spans="2:40" ht="33" customHeight="1" thickBot="1" x14ac:dyDescent="0.25">
      <c r="B113" s="429" t="s">
        <v>418</v>
      </c>
      <c r="C113" s="446" t="s">
        <v>240</v>
      </c>
      <c r="D113" s="550" t="str">
        <f>D95</f>
        <v>NE</v>
      </c>
      <c r="E113" s="1333"/>
      <c r="F113" s="1336"/>
      <c r="G113" s="1339"/>
      <c r="H113" s="1342"/>
      <c r="I113" s="1345"/>
      <c r="J113" s="1339"/>
      <c r="K113" s="1319"/>
      <c r="L113" s="455">
        <f ca="1">H104</f>
        <v>0</v>
      </c>
      <c r="M113" s="354">
        <f ca="1">L113*H111</f>
        <v>0</v>
      </c>
      <c r="N113" s="425">
        <f>IF(D113="DA",E104-L113,0)</f>
        <v>0</v>
      </c>
      <c r="O113" s="456"/>
      <c r="P113" s="434">
        <f>IF(D113="DA",G104-M113,0)</f>
        <v>0</v>
      </c>
      <c r="Q113" s="435"/>
      <c r="R113" s="457">
        <f>SUM(P113:Q113)</f>
        <v>0</v>
      </c>
      <c r="S113" s="586">
        <f ca="1">R113-O104</f>
        <v>-8332.6921199999997</v>
      </c>
      <c r="Y113" s="259"/>
      <c r="Z113" s="454"/>
      <c r="AA113" s="454"/>
      <c r="AB113" s="454"/>
      <c r="AC113" s="454"/>
      <c r="AD113" s="454"/>
      <c r="AE113" s="454"/>
      <c r="AF113" s="454"/>
      <c r="AG113" s="454"/>
      <c r="AH113" s="454"/>
      <c r="AI113" s="454"/>
      <c r="AJ113" s="259"/>
      <c r="AK113" s="260"/>
      <c r="AL113" s="260"/>
      <c r="AM113" s="260"/>
      <c r="AN113" s="260"/>
    </row>
    <row r="114" spans="2:40" ht="33" customHeight="1" thickBot="1" x14ac:dyDescent="0.25">
      <c r="B114" s="1203" t="s">
        <v>163</v>
      </c>
      <c r="C114" s="1204"/>
      <c r="D114" s="1205"/>
      <c r="E114" s="458"/>
      <c r="F114" s="459"/>
      <c r="G114" s="459"/>
      <c r="H114" s="459"/>
      <c r="I114" s="459"/>
      <c r="J114" s="459"/>
      <c r="K114" s="459"/>
      <c r="L114" s="298">
        <f ca="1">SUM(L111:L113)</f>
        <v>0</v>
      </c>
      <c r="M114" s="441">
        <f t="shared" ref="M114:O114" ca="1" si="19">SUM(M111:M113)</f>
        <v>0</v>
      </c>
      <c r="N114" s="439">
        <f t="shared" si="19"/>
        <v>0</v>
      </c>
      <c r="O114" s="298">
        <f t="shared" ca="1" si="19"/>
        <v>33775</v>
      </c>
      <c r="P114" s="441">
        <f ca="1">SUM(P111:P113)</f>
        <v>0</v>
      </c>
      <c r="Q114" s="441">
        <f ca="1">SUM(Q111:Q113)</f>
        <v>5640.4250000000002</v>
      </c>
      <c r="R114" s="359">
        <f ca="1">SUM(R111:R113)</f>
        <v>5640.4250000000002</v>
      </c>
      <c r="S114" s="587">
        <f ca="1">SUM(S111:S113)</f>
        <v>-8332.6921199999997</v>
      </c>
      <c r="Y114" s="352"/>
      <c r="Z114" s="460"/>
      <c r="AA114" s="460"/>
      <c r="AB114" s="460"/>
      <c r="AC114" s="460"/>
      <c r="AD114" s="460"/>
      <c r="AE114" s="460"/>
      <c r="AF114" s="460"/>
      <c r="AG114" s="460"/>
      <c r="AH114" s="460"/>
      <c r="AI114" s="460"/>
      <c r="AJ114" s="259"/>
      <c r="AK114" s="260"/>
      <c r="AL114" s="260"/>
      <c r="AM114" s="260"/>
      <c r="AN114" s="260"/>
    </row>
    <row r="115" spans="2:40" ht="14.25" customHeight="1" x14ac:dyDescent="0.2">
      <c r="Y115" s="259"/>
      <c r="Z115" s="460"/>
      <c r="AA115" s="460"/>
      <c r="AB115" s="460"/>
      <c r="AC115" s="460"/>
      <c r="AD115" s="460"/>
      <c r="AE115" s="460"/>
      <c r="AF115" s="460"/>
      <c r="AG115" s="460"/>
      <c r="AH115" s="460"/>
      <c r="AI115" s="460"/>
      <c r="AJ115" s="259"/>
      <c r="AK115" s="260"/>
      <c r="AL115" s="260"/>
      <c r="AM115" s="260"/>
      <c r="AN115" s="260"/>
    </row>
    <row r="116" spans="2:40" ht="18.75" thickBot="1" x14ac:dyDescent="0.25">
      <c r="B116" s="256"/>
      <c r="C116" s="247"/>
      <c r="D116" s="247"/>
      <c r="E116" s="247"/>
      <c r="F116" s="247"/>
      <c r="G116" s="247"/>
      <c r="H116" s="247"/>
      <c r="I116" s="245"/>
      <c r="J116" s="246"/>
      <c r="K116" s="246"/>
      <c r="L116" s="246"/>
      <c r="M116" s="246"/>
      <c r="N116" s="246"/>
      <c r="O116" s="247"/>
      <c r="P116" s="247"/>
      <c r="Q116" s="247"/>
      <c r="R116" s="247"/>
      <c r="S116" s="247"/>
      <c r="T116" s="255"/>
      <c r="U116" s="255"/>
      <c r="V116" s="255"/>
      <c r="Y116" s="352"/>
      <c r="Z116" s="259"/>
      <c r="AA116" s="259"/>
      <c r="AB116" s="259"/>
      <c r="AC116" s="259"/>
      <c r="AD116" s="259"/>
      <c r="AE116" s="259"/>
      <c r="AF116" s="259"/>
      <c r="AG116" s="259"/>
      <c r="AH116" s="259"/>
      <c r="AI116" s="259"/>
      <c r="AJ116" s="259"/>
      <c r="AK116" s="260"/>
      <c r="AL116" s="260"/>
      <c r="AM116" s="260"/>
      <c r="AN116" s="260"/>
    </row>
    <row r="117" spans="2:40" ht="30.75" thickBot="1" x14ac:dyDescent="0.25">
      <c r="B117" s="461" t="s">
        <v>253</v>
      </c>
      <c r="C117" s="462"/>
      <c r="D117" s="462"/>
      <c r="E117" s="462"/>
      <c r="F117" s="462"/>
      <c r="G117" s="462"/>
      <c r="H117" s="462"/>
      <c r="I117" s="462"/>
      <c r="J117" s="462"/>
      <c r="K117" s="462"/>
      <c r="L117" s="462"/>
      <c r="M117" s="462"/>
      <c r="N117" s="462"/>
      <c r="O117" s="462"/>
      <c r="P117" s="462"/>
      <c r="Q117" s="462"/>
      <c r="R117" s="462"/>
      <c r="S117" s="462"/>
      <c r="T117" s="462"/>
      <c r="U117" s="462"/>
      <c r="V117" s="463"/>
      <c r="Y117" s="259"/>
      <c r="Z117" s="460"/>
      <c r="AA117" s="460"/>
      <c r="AB117" s="460"/>
      <c r="AC117" s="460"/>
      <c r="AD117" s="460"/>
      <c r="AE117" s="460"/>
      <c r="AF117" s="460"/>
      <c r="AG117" s="460"/>
      <c r="AH117" s="460"/>
      <c r="AI117" s="460"/>
      <c r="AJ117" s="464"/>
      <c r="AK117" s="260"/>
      <c r="AL117" s="260"/>
      <c r="AM117" s="260"/>
      <c r="AN117" s="260"/>
    </row>
    <row r="118" spans="2:40" ht="15" x14ac:dyDescent="0.2">
      <c r="B118" s="465"/>
      <c r="C118" s="465"/>
      <c r="D118" s="465"/>
      <c r="E118" s="465"/>
      <c r="F118" s="465"/>
      <c r="G118" s="465"/>
      <c r="H118" s="465"/>
      <c r="I118" s="465"/>
      <c r="J118" s="466"/>
      <c r="K118" s="466"/>
      <c r="L118" s="466"/>
      <c r="M118" s="466"/>
      <c r="N118" s="466"/>
      <c r="O118" s="466"/>
      <c r="P118" s="466"/>
      <c r="Q118" s="466"/>
      <c r="R118" s="466"/>
      <c r="S118" s="466"/>
      <c r="T118" s="466"/>
      <c r="U118" s="466"/>
      <c r="V118" s="466"/>
      <c r="Y118" s="259"/>
      <c r="Z118" s="259"/>
      <c r="AA118" s="259"/>
      <c r="AB118" s="259"/>
      <c r="AC118" s="259"/>
      <c r="AD118" s="259"/>
      <c r="AE118" s="259"/>
      <c r="AF118" s="259"/>
      <c r="AG118" s="259"/>
      <c r="AH118" s="259"/>
      <c r="AI118" s="259"/>
      <c r="AJ118" s="259"/>
      <c r="AK118" s="260"/>
      <c r="AL118" s="260"/>
      <c r="AM118" s="260"/>
      <c r="AN118" s="260"/>
    </row>
    <row r="119" spans="2:40" ht="15.75" thickBot="1" x14ac:dyDescent="0.25">
      <c r="B119" s="465"/>
      <c r="C119" s="465"/>
      <c r="D119" s="465"/>
      <c r="E119" s="465"/>
      <c r="F119" s="465"/>
      <c r="G119" s="465"/>
      <c r="H119" s="465"/>
      <c r="I119" s="465"/>
      <c r="J119" s="466"/>
      <c r="K119" s="466"/>
      <c r="L119" s="466"/>
      <c r="M119" s="466"/>
      <c r="N119" s="466"/>
      <c r="O119" s="466"/>
      <c r="P119" s="466"/>
      <c r="Q119" s="466"/>
      <c r="R119" s="466"/>
      <c r="S119" s="466"/>
      <c r="T119" s="466"/>
      <c r="U119" s="466"/>
      <c r="V119" s="466"/>
      <c r="Y119" s="259"/>
      <c r="Z119" s="259"/>
      <c r="AA119" s="259"/>
      <c r="AB119" s="259"/>
      <c r="AC119" s="259"/>
      <c r="AD119" s="259"/>
      <c r="AE119" s="259"/>
      <c r="AF119" s="259"/>
      <c r="AG119" s="259"/>
      <c r="AH119" s="259"/>
      <c r="AI119" s="259"/>
      <c r="AJ119" s="259"/>
      <c r="AK119" s="260"/>
      <c r="AL119" s="260"/>
      <c r="AM119" s="260"/>
      <c r="AN119" s="260"/>
    </row>
    <row r="120" spans="2:40" ht="35.25" customHeight="1" thickBot="1" x14ac:dyDescent="0.25">
      <c r="B120" s="1320" t="s">
        <v>174</v>
      </c>
      <c r="C120" s="1321"/>
      <c r="D120" s="1321"/>
      <c r="E120" s="1322"/>
      <c r="F120" s="246"/>
      <c r="G120" s="1323" t="s">
        <v>254</v>
      </c>
      <c r="H120" s="1321" t="s">
        <v>197</v>
      </c>
      <c r="I120" s="1321"/>
      <c r="J120" s="1321"/>
      <c r="K120" s="1321"/>
      <c r="L120" s="1322"/>
      <c r="M120" s="246"/>
      <c r="N120" s="1323" t="s">
        <v>255</v>
      </c>
      <c r="O120" s="1329" t="s">
        <v>202</v>
      </c>
      <c r="P120" s="1329"/>
      <c r="Q120" s="1329"/>
      <c r="R120" s="1330"/>
      <c r="S120" s="246"/>
      <c r="T120" s="246"/>
      <c r="U120" s="246"/>
      <c r="V120" s="246"/>
      <c r="Z120" s="259"/>
      <c r="AA120" s="259"/>
      <c r="AB120" s="259"/>
      <c r="AC120" s="259"/>
      <c r="AD120" s="259"/>
      <c r="AE120" s="259"/>
      <c r="AF120" s="259"/>
      <c r="AG120" s="259"/>
      <c r="AH120" s="259"/>
      <c r="AI120" s="259"/>
      <c r="AJ120" s="259"/>
      <c r="AK120" s="260"/>
      <c r="AL120" s="260"/>
      <c r="AM120" s="260"/>
      <c r="AN120" s="260"/>
    </row>
    <row r="121" spans="2:40" ht="66" customHeight="1" x14ac:dyDescent="0.2">
      <c r="B121" s="1268" t="s">
        <v>256</v>
      </c>
      <c r="C121" s="1082" t="s">
        <v>257</v>
      </c>
      <c r="D121" s="408" t="s">
        <v>258</v>
      </c>
      <c r="E121" s="1082" t="s">
        <v>259</v>
      </c>
      <c r="F121" s="246"/>
      <c r="G121" s="1324"/>
      <c r="H121" s="1268" t="s">
        <v>256</v>
      </c>
      <c r="I121" s="1277" t="s">
        <v>199</v>
      </c>
      <c r="J121" s="1082" t="s">
        <v>257</v>
      </c>
      <c r="K121" s="408" t="s">
        <v>258</v>
      </c>
      <c r="L121" s="1082" t="s">
        <v>259</v>
      </c>
      <c r="M121" s="246"/>
      <c r="N121" s="1324"/>
      <c r="O121" s="1268" t="s">
        <v>256</v>
      </c>
      <c r="P121" s="1082" t="s">
        <v>257</v>
      </c>
      <c r="Q121" s="408" t="s">
        <v>258</v>
      </c>
      <c r="R121" s="1082" t="s">
        <v>260</v>
      </c>
      <c r="S121" s="246"/>
      <c r="T121" s="246"/>
      <c r="U121" s="246"/>
      <c r="V121" s="246"/>
    </row>
    <row r="122" spans="2:40" ht="21.75" customHeight="1" thickBot="1" x14ac:dyDescent="0.25">
      <c r="B122" s="1309"/>
      <c r="C122" s="418" t="s">
        <v>158</v>
      </c>
      <c r="D122" s="375" t="s">
        <v>158</v>
      </c>
      <c r="E122" s="468" t="s">
        <v>158</v>
      </c>
      <c r="F122" s="415"/>
      <c r="G122" s="1324"/>
      <c r="H122" s="1309"/>
      <c r="I122" s="1349"/>
      <c r="J122" s="418" t="s">
        <v>158</v>
      </c>
      <c r="K122" s="375" t="s">
        <v>158</v>
      </c>
      <c r="L122" s="468" t="s">
        <v>158</v>
      </c>
      <c r="M122" s="415"/>
      <c r="N122" s="1324"/>
      <c r="O122" s="1309"/>
      <c r="P122" s="418" t="s">
        <v>158</v>
      </c>
      <c r="Q122" s="375" t="s">
        <v>158</v>
      </c>
      <c r="R122" s="468" t="s">
        <v>158</v>
      </c>
      <c r="S122" s="415"/>
      <c r="T122" s="415"/>
      <c r="U122" s="415"/>
      <c r="V122" s="415"/>
    </row>
    <row r="123" spans="2:40" ht="33" customHeight="1" x14ac:dyDescent="0.2">
      <c r="B123" s="469" t="s">
        <v>71</v>
      </c>
      <c r="C123" s="470">
        <f>INDEX('Referenčne količine'!$D49:$G49,MATCH(ObračunOB002!$C$3,'Referenčne količine'!$D$6:$G$6))</f>
        <v>3783</v>
      </c>
      <c r="D123" s="471">
        <v>0</v>
      </c>
      <c r="E123" s="472">
        <f>C123-D123</f>
        <v>3783</v>
      </c>
      <c r="F123" s="251"/>
      <c r="G123" s="1324"/>
      <c r="H123" s="452" t="s">
        <v>71</v>
      </c>
      <c r="I123" s="445">
        <v>1</v>
      </c>
      <c r="J123" s="369">
        <f>C123*I123</f>
        <v>3783</v>
      </c>
      <c r="K123" s="471">
        <v>0</v>
      </c>
      <c r="L123" s="472">
        <f>J123-K123</f>
        <v>3783</v>
      </c>
      <c r="M123" s="251"/>
      <c r="N123" s="1324"/>
      <c r="O123" s="452" t="s">
        <v>71</v>
      </c>
      <c r="P123" s="369">
        <f>J123</f>
        <v>3783</v>
      </c>
      <c r="Q123" s="473" cm="1">
        <f t="array" aca="1" ref="Q123" ca="1">INDIRECT($C$3&amp;"!E83")</f>
        <v>0</v>
      </c>
      <c r="R123" s="472">
        <f ca="1">P123-Q123</f>
        <v>3783</v>
      </c>
      <c r="S123" s="251"/>
      <c r="T123" s="251"/>
      <c r="U123" s="251"/>
      <c r="V123" s="251"/>
    </row>
    <row r="124" spans="2:40" ht="33" customHeight="1" thickBot="1" x14ac:dyDescent="0.25">
      <c r="B124" s="474" t="s">
        <v>163</v>
      </c>
      <c r="C124" s="334">
        <f>SUM(C123:C123)</f>
        <v>3783</v>
      </c>
      <c r="D124" s="475">
        <f>SUM(D123:D123)</f>
        <v>0</v>
      </c>
      <c r="E124" s="476">
        <f>SUM(E123:E123)</f>
        <v>3783</v>
      </c>
      <c r="F124" s="246"/>
      <c r="G124" s="1325"/>
      <c r="H124" s="1315" t="s">
        <v>163</v>
      </c>
      <c r="I124" s="1316"/>
      <c r="J124" s="334">
        <f>SUM(J123:J123)</f>
        <v>3783</v>
      </c>
      <c r="K124" s="475">
        <f>SUM(K123:K123)</f>
        <v>0</v>
      </c>
      <c r="L124" s="476">
        <f>SUM(L123:L123)</f>
        <v>3783</v>
      </c>
      <c r="M124" s="246"/>
      <c r="N124" s="1325"/>
      <c r="O124" s="474" t="s">
        <v>163</v>
      </c>
      <c r="P124" s="334">
        <f>SUM(P123:P123)</f>
        <v>3783</v>
      </c>
      <c r="Q124" s="475">
        <f ca="1">SUM(Q123:Q123)</f>
        <v>0</v>
      </c>
      <c r="R124" s="476">
        <f ca="1">SUM(R123:R123)</f>
        <v>3783</v>
      </c>
      <c r="S124" s="246"/>
      <c r="T124" s="246"/>
      <c r="U124" s="246"/>
      <c r="V124" s="246"/>
    </row>
    <row r="125" spans="2:40" ht="14.25" customHeight="1" x14ac:dyDescent="0.2">
      <c r="I125" s="257" t="s">
        <v>196</v>
      </c>
    </row>
  </sheetData>
  <mergeCells count="122">
    <mergeCell ref="H124:I124"/>
    <mergeCell ref="B114:D114"/>
    <mergeCell ref="B120:E120"/>
    <mergeCell ref="G120:G124"/>
    <mergeCell ref="H120:L120"/>
    <mergeCell ref="N120:N124"/>
    <mergeCell ref="O120:R120"/>
    <mergeCell ref="B121:B122"/>
    <mergeCell ref="H121:H122"/>
    <mergeCell ref="I121:I122"/>
    <mergeCell ref="O121:O122"/>
    <mergeCell ref="N108:S108"/>
    <mergeCell ref="E111:E113"/>
    <mergeCell ref="F111:F113"/>
    <mergeCell ref="G111:G113"/>
    <mergeCell ref="H111:H113"/>
    <mergeCell ref="I111:I113"/>
    <mergeCell ref="J111:J113"/>
    <mergeCell ref="K111:K113"/>
    <mergeCell ref="B108:B109"/>
    <mergeCell ref="C108:C109"/>
    <mergeCell ref="D108:D109"/>
    <mergeCell ref="E108:H108"/>
    <mergeCell ref="I108:K108"/>
    <mergeCell ref="L108:M108"/>
    <mergeCell ref="G99:G100"/>
    <mergeCell ref="H99:J99"/>
    <mergeCell ref="K99:O99"/>
    <mergeCell ref="F102:F104"/>
    <mergeCell ref="I102:I104"/>
    <mergeCell ref="B105:D105"/>
    <mergeCell ref="H90:J90"/>
    <mergeCell ref="K90:O90"/>
    <mergeCell ref="F93:F95"/>
    <mergeCell ref="I93:I95"/>
    <mergeCell ref="B96:D96"/>
    <mergeCell ref="B99:B100"/>
    <mergeCell ref="C99:C100"/>
    <mergeCell ref="D99:D100"/>
    <mergeCell ref="E99:E100"/>
    <mergeCell ref="F99:F100"/>
    <mergeCell ref="B77:B79"/>
    <mergeCell ref="C77:C79"/>
    <mergeCell ref="D77:F77"/>
    <mergeCell ref="G77:M77"/>
    <mergeCell ref="B90:B91"/>
    <mergeCell ref="C90:C91"/>
    <mergeCell ref="D90:D91"/>
    <mergeCell ref="E90:E91"/>
    <mergeCell ref="F90:F91"/>
    <mergeCell ref="G90:G91"/>
    <mergeCell ref="O52:O55"/>
    <mergeCell ref="B56:D56"/>
    <mergeCell ref="B58:B59"/>
    <mergeCell ref="C58:C59"/>
    <mergeCell ref="D58:D59"/>
    <mergeCell ref="B65:D65"/>
    <mergeCell ref="H48:H50"/>
    <mergeCell ref="I48:I50"/>
    <mergeCell ref="L49:M49"/>
    <mergeCell ref="F52:F55"/>
    <mergeCell ref="H52:H55"/>
    <mergeCell ref="J52:J55"/>
    <mergeCell ref="M52:M55"/>
    <mergeCell ref="B48:B50"/>
    <mergeCell ref="C48:C50"/>
    <mergeCell ref="D48:D50"/>
    <mergeCell ref="E48:E50"/>
    <mergeCell ref="F48:F50"/>
    <mergeCell ref="G48:G50"/>
    <mergeCell ref="C40:D40"/>
    <mergeCell ref="C41:D41"/>
    <mergeCell ref="C42:D42"/>
    <mergeCell ref="C43:D43"/>
    <mergeCell ref="B44:D44"/>
    <mergeCell ref="C32:D32"/>
    <mergeCell ref="C33:D33"/>
    <mergeCell ref="C34:D34"/>
    <mergeCell ref="B35:D35"/>
    <mergeCell ref="B37:B38"/>
    <mergeCell ref="C37:D38"/>
    <mergeCell ref="P28:Q28"/>
    <mergeCell ref="C30:D30"/>
    <mergeCell ref="C31:D31"/>
    <mergeCell ref="F31:F34"/>
    <mergeCell ref="H31:H34"/>
    <mergeCell ref="J31:J34"/>
    <mergeCell ref="M31:M34"/>
    <mergeCell ref="O31:O34"/>
    <mergeCell ref="C39:D39"/>
    <mergeCell ref="D24:E24"/>
    <mergeCell ref="B27:B29"/>
    <mergeCell ref="C27:D29"/>
    <mergeCell ref="E27:E29"/>
    <mergeCell ref="F27:F29"/>
    <mergeCell ref="G27:G29"/>
    <mergeCell ref="D22:E22"/>
    <mergeCell ref="I22:J22"/>
    <mergeCell ref="N22:O22"/>
    <mergeCell ref="D23:E23"/>
    <mergeCell ref="I23:J23"/>
    <mergeCell ref="N23:O23"/>
    <mergeCell ref="H27:H29"/>
    <mergeCell ref="I27:I29"/>
    <mergeCell ref="B10:B12"/>
    <mergeCell ref="C10:E10"/>
    <mergeCell ref="F10:H10"/>
    <mergeCell ref="I10:K10"/>
    <mergeCell ref="L10:N10"/>
    <mergeCell ref="C11:E11"/>
    <mergeCell ref="F11:H11"/>
    <mergeCell ref="I11:K11"/>
    <mergeCell ref="L11:N11"/>
    <mergeCell ref="J3:J4"/>
    <mergeCell ref="K3:M4"/>
    <mergeCell ref="Q3:T4"/>
    <mergeCell ref="C4:H5"/>
    <mergeCell ref="J5:J6"/>
    <mergeCell ref="K5:M6"/>
    <mergeCell ref="Q5:T6"/>
    <mergeCell ref="C6:H6"/>
    <mergeCell ref="Q8:U10"/>
  </mergeCells>
  <conditionalFormatting sqref="L31">
    <cfRule type="cellIs" dxfId="95" priority="29" operator="equal">
      <formula>0</formula>
    </cfRule>
  </conditionalFormatting>
  <conditionalFormatting sqref="J31">
    <cfRule type="cellIs" dxfId="94" priority="32" operator="equal">
      <formula>0</formula>
    </cfRule>
  </conditionalFormatting>
  <conditionalFormatting sqref="M31">
    <cfRule type="cellIs" dxfId="93" priority="31" operator="equal">
      <formula>0</formula>
    </cfRule>
  </conditionalFormatting>
  <conditionalFormatting sqref="P31">
    <cfRule type="cellIs" dxfId="92" priority="30" operator="equal">
      <formula>0</formula>
    </cfRule>
  </conditionalFormatting>
  <conditionalFormatting sqref="L52">
    <cfRule type="cellIs" dxfId="91" priority="24" operator="equal">
      <formula>0</formula>
    </cfRule>
  </conditionalFormatting>
  <conditionalFormatting sqref="O52">
    <cfRule type="cellIs" dxfId="90" priority="28" operator="equal">
      <formula>0</formula>
    </cfRule>
  </conditionalFormatting>
  <conditionalFormatting sqref="M52">
    <cfRule type="cellIs" dxfId="89" priority="27" operator="equal">
      <formula>0</formula>
    </cfRule>
  </conditionalFormatting>
  <conditionalFormatting sqref="P52">
    <cfRule type="cellIs" dxfId="88" priority="26" operator="equal">
      <formula>0</formula>
    </cfRule>
  </conditionalFormatting>
  <conditionalFormatting sqref="N52">
    <cfRule type="cellIs" dxfId="87" priority="25" operator="equal">
      <formula>0</formula>
    </cfRule>
  </conditionalFormatting>
  <conditionalFormatting sqref="P80:P82 P84">
    <cfRule type="cellIs" dxfId="86" priority="22" operator="lessThan">
      <formula>0</formula>
    </cfRule>
    <cfRule type="cellIs" dxfId="85" priority="23" operator="greaterThan">
      <formula>0</formula>
    </cfRule>
  </conditionalFormatting>
  <conditionalFormatting sqref="S111:S113">
    <cfRule type="cellIs" dxfId="84" priority="20" operator="lessThan">
      <formula>0</formula>
    </cfRule>
    <cfRule type="cellIs" dxfId="83" priority="21" operator="greaterThan">
      <formula>0</formula>
    </cfRule>
  </conditionalFormatting>
  <conditionalFormatting sqref="S114">
    <cfRule type="cellIs" dxfId="82" priority="18" operator="lessThan">
      <formula>0</formula>
    </cfRule>
    <cfRule type="cellIs" dxfId="81" priority="19" operator="greaterThan">
      <formula>0</formula>
    </cfRule>
  </conditionalFormatting>
  <conditionalFormatting sqref="L13:M13">
    <cfRule type="cellIs" dxfId="80" priority="16" operator="lessThan">
      <formula>0</formula>
    </cfRule>
    <cfRule type="cellIs" dxfId="79" priority="17" operator="greaterThan">
      <formula>0</formula>
    </cfRule>
  </conditionalFormatting>
  <conditionalFormatting sqref="L16:M16">
    <cfRule type="cellIs" dxfId="78" priority="14" operator="lessThan">
      <formula>0</formula>
    </cfRule>
    <cfRule type="cellIs" dxfId="77" priority="15" operator="greaterThan">
      <formula>0</formula>
    </cfRule>
  </conditionalFormatting>
  <conditionalFormatting sqref="L14:M14">
    <cfRule type="cellIs" dxfId="76" priority="12" operator="lessThan">
      <formula>0</formula>
    </cfRule>
    <cfRule type="cellIs" dxfId="75" priority="13" operator="greaterThan">
      <formula>0</formula>
    </cfRule>
  </conditionalFormatting>
  <conditionalFormatting sqref="L15:M15">
    <cfRule type="cellIs" dxfId="74" priority="10" operator="lessThan">
      <formula>0</formula>
    </cfRule>
    <cfRule type="cellIs" dxfId="73" priority="11" operator="greaterThan">
      <formula>0</formula>
    </cfRule>
  </conditionalFormatting>
  <conditionalFormatting sqref="N31">
    <cfRule type="cellIs" dxfId="72" priority="9" operator="equal">
      <formula>0</formula>
    </cfRule>
  </conditionalFormatting>
  <conditionalFormatting sqref="Q31">
    <cfRule type="cellIs" dxfId="71" priority="8" operator="equal">
      <formula>0</formula>
    </cfRule>
  </conditionalFormatting>
  <conditionalFormatting sqref="P83">
    <cfRule type="cellIs" dxfId="70" priority="6" operator="lessThan">
      <formula>0</formula>
    </cfRule>
    <cfRule type="cellIs" dxfId="69" priority="7" operator="greaterThan">
      <formula>0</formula>
    </cfRule>
  </conditionalFormatting>
  <conditionalFormatting sqref="K80:K82 K84">
    <cfRule type="cellIs" dxfId="68" priority="4" operator="lessThan">
      <formula>0</formula>
    </cfRule>
    <cfRule type="cellIs" dxfId="67" priority="5" operator="greaterThan">
      <formula>0</formula>
    </cfRule>
  </conditionalFormatting>
  <conditionalFormatting sqref="K83">
    <cfRule type="cellIs" dxfId="66" priority="2" operator="lessThan">
      <formula>0</formula>
    </cfRule>
    <cfRule type="cellIs" dxfId="65" priority="3" operator="greaterThan">
      <formula>0</formula>
    </cfRule>
  </conditionalFormatting>
  <conditionalFormatting sqref="J52">
    <cfRule type="cellIs" dxfId="64" priority="1" operator="equal">
      <formula>0</formula>
    </cfRule>
  </conditionalFormatting>
  <dataValidations disablePrompts="1" count="2">
    <dataValidation type="list" errorStyle="warning" allowBlank="1" showInputMessage="1" showErrorMessage="1" errorTitle="NEPRAVILNA VREDNOST" error="PREVERI VNOS!_x000a__x000a_Dovoljene vrednosti:_x000a_- OSNUTEK_x000a_- PREDLOG_x000a_- POTRJENO" sqref="K5" xr:uid="{87488DE9-1A41-4427-8FE1-33FBFAB8091D}">
      <formula1>"OSNUTEK, PREDLOG, POTRJENO"</formula1>
    </dataValidation>
    <dataValidation type="list" allowBlank="1" showInputMessage="1" showErrorMessage="1" sqref="D93:D95" xr:uid="{7C0B281A-FDB0-48D9-A5BA-E8ECEF35031F}">
      <formula1>"DA, NE"</formula1>
    </dataValidation>
  </dataValidations>
  <pageMargins left="0.43307086614173229" right="0.43307086614173229" top="0.74803149606299213" bottom="0.74803149606299213" header="0.31496062992125984" footer="0.31496062992125984"/>
  <pageSetup paperSize="9" scale="18" fitToHeight="0" orientation="landscape" r:id="rId1"/>
  <headerFooter>
    <oddHeader>&amp;L&amp;"Arial,Krepko"&amp;20PETROL d.d., Ljubljana
Dunajska 50, 1000 Ljubljana&amp;C&amp;"Arial Black,Navadno"&amp;16OBRAČUN PRIHRANKOV</oddHeader>
    <oddFooter>&amp;L&amp;A&amp;C&amp;P/&amp;N&amp;R&amp;D</oddFooter>
  </headerFooter>
  <legacyDrawing r:id="rId2"/>
  <extLst>
    <ext xmlns:x14="http://schemas.microsoft.com/office/spreadsheetml/2009/9/main" uri="{CCE6A557-97BC-4b89-ADB6-D9C93CAAB3DF}">
      <x14:dataValidations xmlns:xm="http://schemas.microsoft.com/office/excel/2006/main" disablePrompts="1" count="1">
        <x14:dataValidation type="list" showInputMessage="1" showErrorMessage="1" xr:uid="{6C78F845-7BA6-427D-BC8A-41C09335BFF2}">
          <x14:formula1>
            <xm:f>'Osnovni podatki'!$C$6:$C$9</xm:f>
          </x14:formula1>
          <xm:sqref>C3</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D3D69-99FB-4787-90FB-14AAC6CEC092}">
  <sheetPr>
    <tabColor theme="4"/>
    <pageSetUpPr fitToPage="1"/>
  </sheetPr>
  <dimension ref="A1:AP125"/>
  <sheetViews>
    <sheetView topLeftCell="A88" zoomScale="55" zoomScaleNormal="55" zoomScalePageLayoutView="40" workbookViewId="0">
      <selection activeCell="C123" sqref="C123"/>
    </sheetView>
  </sheetViews>
  <sheetFormatPr defaultColWidth="9" defaultRowHeight="14.25" customHeight="1" x14ac:dyDescent="0.2"/>
  <cols>
    <col min="1" max="1" width="5.140625" style="248" customWidth="1"/>
    <col min="2" max="2" width="25.7109375" style="248" customWidth="1"/>
    <col min="3" max="4" width="21.140625" style="248" customWidth="1"/>
    <col min="5" max="17" width="20.7109375" style="248" customWidth="1"/>
    <col min="18" max="18" width="19.7109375" style="248" customWidth="1"/>
    <col min="19" max="19" width="20.140625" style="248" customWidth="1"/>
    <col min="20" max="23" width="17.85546875" style="248" customWidth="1"/>
    <col min="24" max="24" width="19.5703125" style="248" customWidth="1"/>
    <col min="25" max="25" width="17.85546875" style="248" customWidth="1"/>
    <col min="26" max="26" width="16.140625" style="248" bestFit="1" customWidth="1"/>
    <col min="27" max="35" width="16.140625" style="248" customWidth="1"/>
    <col min="36" max="36" width="27.5703125" style="248" bestFit="1" customWidth="1"/>
    <col min="37" max="37" width="19.140625" style="248" customWidth="1"/>
    <col min="38" max="38" width="33.7109375" style="248" customWidth="1"/>
    <col min="39" max="39" width="19.85546875" style="248" customWidth="1"/>
    <col min="40" max="16384" width="9" style="248"/>
  </cols>
  <sheetData>
    <row r="1" spans="2:40" ht="44.25" x14ac:dyDescent="0.2">
      <c r="B1" s="244" t="s">
        <v>139</v>
      </c>
      <c r="C1" s="245"/>
      <c r="D1" s="245"/>
      <c r="E1" s="245"/>
      <c r="F1" s="245"/>
      <c r="G1" s="245"/>
      <c r="H1" s="245"/>
      <c r="I1" s="245"/>
      <c r="J1" s="246"/>
      <c r="K1" s="246"/>
      <c r="L1" s="246"/>
      <c r="M1" s="246"/>
      <c r="N1" s="246"/>
      <c r="O1" s="246"/>
      <c r="P1" s="246"/>
      <c r="Q1" s="246"/>
      <c r="R1" s="246"/>
      <c r="S1" s="246"/>
      <c r="T1" s="246"/>
      <c r="U1" s="246"/>
      <c r="V1" s="246"/>
      <c r="W1" s="247"/>
      <c r="X1" s="247"/>
    </row>
    <row r="2" spans="2:40" ht="15" x14ac:dyDescent="0.2">
      <c r="B2" s="245"/>
      <c r="C2" s="245"/>
      <c r="D2" s="245"/>
      <c r="E2" s="245"/>
      <c r="F2" s="245"/>
      <c r="G2" s="245"/>
      <c r="H2" s="245"/>
      <c r="I2" s="245"/>
      <c r="J2" s="246"/>
      <c r="K2" s="246"/>
      <c r="L2" s="246"/>
      <c r="M2" s="246"/>
      <c r="N2" s="246"/>
      <c r="O2" s="246"/>
      <c r="P2" s="246"/>
      <c r="Q2" s="246"/>
      <c r="R2" s="246"/>
      <c r="S2" s="246"/>
      <c r="T2" s="246"/>
      <c r="U2" s="246"/>
      <c r="V2" s="246"/>
      <c r="W2" s="247"/>
      <c r="X2" s="247"/>
    </row>
    <row r="3" spans="2:40" ht="19.5" x14ac:dyDescent="0.2">
      <c r="B3" s="249" t="s">
        <v>140</v>
      </c>
      <c r="C3" s="250" t="s">
        <v>270</v>
      </c>
      <c r="D3" s="251"/>
      <c r="E3" s="251"/>
      <c r="F3" s="251"/>
      <c r="G3" s="252"/>
      <c r="H3" s="251"/>
      <c r="I3" s="251"/>
      <c r="J3" s="1214" t="s">
        <v>142</v>
      </c>
      <c r="K3" s="1215"/>
      <c r="L3" s="1216"/>
      <c r="M3" s="1217"/>
      <c r="N3" s="251"/>
      <c r="O3" s="251"/>
      <c r="P3" s="253" t="s">
        <v>143</v>
      </c>
      <c r="Q3" s="1221"/>
      <c r="R3" s="1222"/>
      <c r="S3" s="1222"/>
      <c r="T3" s="1223"/>
      <c r="U3" s="251"/>
      <c r="V3" s="251"/>
    </row>
    <row r="4" spans="2:40" ht="27" customHeight="1" x14ac:dyDescent="0.2">
      <c r="B4" s="252" t="s">
        <v>144</v>
      </c>
      <c r="C4" s="1227" t="str">
        <f>INDEX('Referenčne količine'!$D7:$G7,MATCH(ObračunOB003!$C$3,'Referenčne količine'!$D$6:$G$6))</f>
        <v>Vrtec Vnanje Gorice</v>
      </c>
      <c r="D4" s="1228"/>
      <c r="E4" s="1228"/>
      <c r="F4" s="1228"/>
      <c r="G4" s="1228"/>
      <c r="H4" s="1229"/>
      <c r="I4" s="251"/>
      <c r="J4" s="1214"/>
      <c r="K4" s="1218"/>
      <c r="L4" s="1219"/>
      <c r="M4" s="1220"/>
      <c r="N4" s="251"/>
      <c r="O4" s="251"/>
      <c r="P4" s="253"/>
      <c r="Q4" s="1224"/>
      <c r="R4" s="1225"/>
      <c r="S4" s="1225"/>
      <c r="T4" s="1226"/>
      <c r="U4" s="251"/>
      <c r="V4" s="251"/>
    </row>
    <row r="5" spans="2:40" ht="24.75" customHeight="1" x14ac:dyDescent="0.2">
      <c r="B5" s="254"/>
      <c r="C5" s="1230"/>
      <c r="D5" s="1231"/>
      <c r="E5" s="1231"/>
      <c r="F5" s="1231"/>
      <c r="G5" s="1231"/>
      <c r="H5" s="1232"/>
      <c r="I5" s="251"/>
      <c r="J5" s="1214" t="s">
        <v>145</v>
      </c>
      <c r="K5" s="1233"/>
      <c r="L5" s="1234"/>
      <c r="M5" s="1235"/>
      <c r="N5" s="251"/>
      <c r="O5" s="251"/>
      <c r="P5" s="253" t="s">
        <v>146</v>
      </c>
      <c r="Q5" s="1239"/>
      <c r="R5" s="1239"/>
      <c r="S5" s="1239"/>
      <c r="T5" s="1239"/>
      <c r="U5" s="251"/>
      <c r="V5" s="251"/>
    </row>
    <row r="6" spans="2:40" ht="45.75" customHeight="1" x14ac:dyDescent="0.2">
      <c r="B6" s="249" t="s">
        <v>147</v>
      </c>
      <c r="C6" s="1240" t="str">
        <f>INDEX('Osnovni podatki'!E6:E9,MATCH(ObračunOB003!$C$3,'Osnovni podatki'!$C$6:$C$9))</f>
        <v>Nova pot 9, 
1351 Brezovica pri Ljubljani</v>
      </c>
      <c r="D6" s="1241"/>
      <c r="E6" s="1241"/>
      <c r="F6" s="1241"/>
      <c r="G6" s="1241"/>
      <c r="H6" s="1242"/>
      <c r="I6" s="255"/>
      <c r="J6" s="1214"/>
      <c r="K6" s="1236"/>
      <c r="L6" s="1237"/>
      <c r="M6" s="1238"/>
      <c r="N6" s="255"/>
      <c r="O6" s="255"/>
      <c r="P6" s="253"/>
      <c r="Q6" s="1239"/>
      <c r="R6" s="1239"/>
      <c r="S6" s="1239"/>
      <c r="T6" s="1239"/>
      <c r="U6" s="255"/>
      <c r="V6" s="255"/>
    </row>
    <row r="7" spans="2:40" ht="18" x14ac:dyDescent="0.2">
      <c r="B7" s="256"/>
      <c r="C7" s="247"/>
      <c r="D7" s="247"/>
      <c r="E7" s="247"/>
      <c r="F7" s="247"/>
      <c r="G7" s="247"/>
      <c r="H7" s="247"/>
      <c r="I7" s="245"/>
      <c r="J7" s="247"/>
      <c r="K7" s="247"/>
      <c r="L7" s="247"/>
      <c r="M7" s="247"/>
      <c r="N7" s="246"/>
      <c r="O7" s="247"/>
      <c r="P7" s="253"/>
      <c r="Q7" s="255"/>
      <c r="R7" s="255"/>
      <c r="S7" s="255"/>
      <c r="T7" s="255"/>
      <c r="U7" s="255"/>
      <c r="V7" s="255"/>
    </row>
    <row r="8" spans="2:40" ht="18" customHeight="1" x14ac:dyDescent="0.2">
      <c r="B8" s="257"/>
      <c r="C8" s="247"/>
      <c r="D8" s="247"/>
      <c r="F8" s="247"/>
      <c r="G8" s="247"/>
      <c r="H8" s="247"/>
      <c r="I8" s="245" t="s">
        <v>148</v>
      </c>
      <c r="N8" s="246"/>
      <c r="O8" s="247"/>
      <c r="P8" s="253" t="s">
        <v>149</v>
      </c>
      <c r="Q8" s="1243"/>
      <c r="R8" s="1244"/>
      <c r="S8" s="1244"/>
      <c r="T8" s="1244"/>
      <c r="U8" s="1245"/>
      <c r="V8" s="255"/>
    </row>
    <row r="9" spans="2:40" ht="30.75" thickBot="1" x14ac:dyDescent="0.25">
      <c r="B9" s="258" t="s">
        <v>150</v>
      </c>
      <c r="C9" s="247"/>
      <c r="D9" s="247"/>
      <c r="E9" s="247"/>
      <c r="F9" s="247"/>
      <c r="G9" s="247"/>
      <c r="H9" s="247"/>
      <c r="I9" s="245"/>
      <c r="J9" s="247"/>
      <c r="K9" s="247"/>
      <c r="L9" s="247"/>
      <c r="N9" s="246"/>
      <c r="O9" s="247"/>
      <c r="P9" s="253"/>
      <c r="Q9" s="1246"/>
      <c r="R9" s="1247"/>
      <c r="S9" s="1247"/>
      <c r="T9" s="1247"/>
      <c r="U9" s="1248"/>
      <c r="V9" s="255"/>
      <c r="Y9" s="259"/>
      <c r="Z9" s="259"/>
      <c r="AA9" s="259"/>
      <c r="AB9" s="259"/>
      <c r="AC9" s="259"/>
      <c r="AD9" s="259"/>
      <c r="AE9" s="259"/>
      <c r="AF9" s="259"/>
      <c r="AG9" s="259"/>
      <c r="AH9" s="259"/>
      <c r="AI9" s="259"/>
      <c r="AJ9" s="259"/>
      <c r="AK9" s="260"/>
      <c r="AL9" s="260"/>
      <c r="AM9" s="260"/>
      <c r="AN9" s="260"/>
    </row>
    <row r="10" spans="2:40" ht="45.75" customHeight="1" x14ac:dyDescent="0.2">
      <c r="B10" s="1260"/>
      <c r="C10" s="1252" t="s">
        <v>151</v>
      </c>
      <c r="D10" s="1253"/>
      <c r="E10" s="1254"/>
      <c r="F10" s="1255" t="s">
        <v>152</v>
      </c>
      <c r="G10" s="1256"/>
      <c r="H10" s="1257"/>
      <c r="I10" s="1258" t="s">
        <v>153</v>
      </c>
      <c r="J10" s="1256"/>
      <c r="K10" s="1259"/>
      <c r="L10" s="1255" t="s">
        <v>154</v>
      </c>
      <c r="M10" s="1256"/>
      <c r="N10" s="1259"/>
      <c r="O10" s="247"/>
      <c r="P10" s="261"/>
      <c r="Q10" s="1249"/>
      <c r="R10" s="1250"/>
      <c r="S10" s="1250"/>
      <c r="T10" s="1250"/>
      <c r="U10" s="1251"/>
      <c r="V10" s="255"/>
      <c r="Y10" s="259"/>
      <c r="Z10" s="259"/>
      <c r="AA10" s="259"/>
      <c r="AB10" s="259"/>
      <c r="AC10" s="259"/>
      <c r="AD10" s="259"/>
      <c r="AE10" s="259"/>
      <c r="AF10" s="259"/>
      <c r="AG10" s="259"/>
      <c r="AH10" s="259"/>
      <c r="AI10" s="259"/>
      <c r="AJ10" s="259"/>
      <c r="AK10" s="260"/>
      <c r="AL10" s="260"/>
      <c r="AM10" s="260"/>
      <c r="AN10" s="260"/>
    </row>
    <row r="11" spans="2:40" ht="18" customHeight="1" x14ac:dyDescent="0.2">
      <c r="B11" s="1261"/>
      <c r="C11" s="1263" t="s">
        <v>155</v>
      </c>
      <c r="D11" s="1264"/>
      <c r="E11" s="1265"/>
      <c r="F11" s="1263" t="s">
        <v>155</v>
      </c>
      <c r="G11" s="1264"/>
      <c r="H11" s="1265"/>
      <c r="I11" s="1263" t="s">
        <v>156</v>
      </c>
      <c r="J11" s="1264"/>
      <c r="K11" s="1265"/>
      <c r="L11" s="1263" t="s">
        <v>157</v>
      </c>
      <c r="M11" s="1264"/>
      <c r="N11" s="1265"/>
      <c r="O11" s="247"/>
      <c r="P11" s="261"/>
      <c r="R11" s="255"/>
      <c r="S11" s="255"/>
      <c r="T11" s="255"/>
      <c r="U11" s="255"/>
      <c r="V11" s="255"/>
      <c r="Y11" s="259"/>
      <c r="Z11" s="259"/>
      <c r="AA11" s="259"/>
      <c r="AB11" s="259"/>
      <c r="AC11" s="259"/>
      <c r="AD11" s="259"/>
      <c r="AE11" s="259"/>
      <c r="AF11" s="259"/>
      <c r="AG11" s="259"/>
      <c r="AH11" s="259"/>
      <c r="AI11" s="259"/>
      <c r="AJ11" s="259"/>
      <c r="AK11" s="260"/>
      <c r="AL11" s="260"/>
      <c r="AM11" s="260"/>
      <c r="AN11" s="260"/>
    </row>
    <row r="12" spans="2:40" ht="30.75" customHeight="1" thickBot="1" x14ac:dyDescent="0.25">
      <c r="B12" s="1262"/>
      <c r="C12" s="262" t="s">
        <v>64</v>
      </c>
      <c r="D12" s="263" t="s">
        <v>158</v>
      </c>
      <c r="E12" s="264" t="s">
        <v>102</v>
      </c>
      <c r="F12" s="265" t="s">
        <v>64</v>
      </c>
      <c r="G12" s="263" t="s">
        <v>158</v>
      </c>
      <c r="H12" s="266" t="s">
        <v>102</v>
      </c>
      <c r="I12" s="262" t="s">
        <v>64</v>
      </c>
      <c r="J12" s="263" t="s">
        <v>158</v>
      </c>
      <c r="K12" s="264" t="s">
        <v>102</v>
      </c>
      <c r="L12" s="265" t="s">
        <v>64</v>
      </c>
      <c r="M12" s="263" t="s">
        <v>158</v>
      </c>
      <c r="N12" s="267" t="s">
        <v>159</v>
      </c>
      <c r="O12" s="247"/>
      <c r="P12" s="261"/>
      <c r="R12" s="255"/>
      <c r="S12" s="255"/>
      <c r="T12" s="255"/>
      <c r="U12" s="255"/>
      <c r="V12" s="255"/>
      <c r="Y12" s="259"/>
      <c r="Z12" s="259"/>
      <c r="AA12" s="259"/>
      <c r="AB12" s="259"/>
      <c r="AC12" s="259"/>
      <c r="AD12" s="259"/>
      <c r="AE12" s="259"/>
      <c r="AF12" s="259"/>
      <c r="AG12" s="259"/>
      <c r="AH12" s="259"/>
      <c r="AI12" s="259"/>
      <c r="AJ12" s="259"/>
      <c r="AK12" s="260"/>
      <c r="AL12" s="260"/>
      <c r="AM12" s="260"/>
      <c r="AN12" s="260"/>
    </row>
    <row r="13" spans="2:40" ht="45.75" customHeight="1" x14ac:dyDescent="0.2">
      <c r="B13" s="268" t="s">
        <v>160</v>
      </c>
      <c r="C13" s="269">
        <f ca="1">SUM(H44:I44)</f>
        <v>213065.42741382075</v>
      </c>
      <c r="D13" s="270">
        <f ca="1">M44</f>
        <v>21306.542388906149</v>
      </c>
      <c r="E13" s="271">
        <f ca="1">D13/I35</f>
        <v>0.99999998345691599</v>
      </c>
      <c r="F13" s="272">
        <f ca="1">SUM(H65:I65)</f>
        <v>213066</v>
      </c>
      <c r="G13" s="270">
        <f ca="1">M65</f>
        <v>21306.600000000002</v>
      </c>
      <c r="H13" s="273">
        <f ca="1">M65/I56</f>
        <v>1</v>
      </c>
      <c r="I13" s="274">
        <f>IFERROR(SUM(G84:H84),0)</f>
        <v>0</v>
      </c>
      <c r="J13" s="270">
        <f ca="1">IFERROR(N84,0)</f>
        <v>0</v>
      </c>
      <c r="K13" s="271" t="e">
        <f ca="1">N84/I56</f>
        <v>#DIV/0!</v>
      </c>
      <c r="L13" s="275">
        <f ca="1">I13-F13</f>
        <v>-213066</v>
      </c>
      <c r="M13" s="276">
        <f ca="1">ROUND(J13-G13,2)</f>
        <v>-21306.6</v>
      </c>
      <c r="N13" s="277" t="str">
        <f ca="1">IF(M13&gt;0,"BONUS",IF(M13&lt;0,"MALUS","-"))</f>
        <v>MALUS</v>
      </c>
      <c r="O13" s="253"/>
      <c r="P13" s="261"/>
      <c r="R13" s="255"/>
      <c r="S13" s="255"/>
      <c r="T13" s="255"/>
      <c r="U13" s="255"/>
      <c r="V13" s="255"/>
      <c r="Y13" s="259"/>
      <c r="Z13" s="259"/>
      <c r="AA13" s="259"/>
      <c r="AB13" s="259"/>
      <c r="AC13" s="259"/>
      <c r="AD13" s="259"/>
      <c r="AE13" s="259"/>
      <c r="AF13" s="259"/>
      <c r="AG13" s="259"/>
      <c r="AH13" s="259"/>
      <c r="AI13" s="259"/>
      <c r="AJ13" s="259"/>
      <c r="AK13" s="260"/>
      <c r="AL13" s="260"/>
      <c r="AM13" s="260"/>
      <c r="AN13" s="260"/>
    </row>
    <row r="14" spans="2:40" ht="45.75" customHeight="1" x14ac:dyDescent="0.2">
      <c r="B14" s="278" t="s">
        <v>161</v>
      </c>
      <c r="C14" s="279">
        <f ca="1">SUM(K96:L96)</f>
        <v>35075</v>
      </c>
      <c r="D14" s="280">
        <f ca="1">O96</f>
        <v>5857.5250000000005</v>
      </c>
      <c r="E14" s="281">
        <f ca="1">O96/G96</f>
        <v>0.36292008970412004</v>
      </c>
      <c r="F14" s="282">
        <f ca="1">SUM(K105:L105)</f>
        <v>96646.62</v>
      </c>
      <c r="G14" s="280">
        <f ca="1">O105</f>
        <v>16139.985540000001</v>
      </c>
      <c r="H14" s="283">
        <f ca="1">O105/G105</f>
        <v>1</v>
      </c>
      <c r="I14" s="284">
        <f ca="1">IFERROR(SUM(N114:O114),0)</f>
        <v>35075</v>
      </c>
      <c r="J14" s="280">
        <f ca="1">IFERROR(R114,0)</f>
        <v>5857.5250000000005</v>
      </c>
      <c r="K14" s="281">
        <f ca="1">R114/G105</f>
        <v>0.36292008970412004</v>
      </c>
      <c r="L14" s="275">
        <f ca="1">I14-F14</f>
        <v>-61571.619999999995</v>
      </c>
      <c r="M14" s="276">
        <f ca="1">ROUND(J14-G14,2)</f>
        <v>-10282.459999999999</v>
      </c>
      <c r="N14" s="277" t="str">
        <f ca="1">IF(M14&gt;0,"BONUS",IF(M14&lt;0,"MALUS","-"))</f>
        <v>MALUS</v>
      </c>
      <c r="O14" s="253"/>
      <c r="P14" s="261"/>
      <c r="R14" s="255"/>
      <c r="S14" s="255"/>
      <c r="T14" s="255"/>
      <c r="U14" s="255"/>
      <c r="V14" s="255"/>
      <c r="Y14" s="259"/>
      <c r="Z14" s="259"/>
      <c r="AA14" s="259"/>
      <c r="AB14" s="259"/>
      <c r="AC14" s="259"/>
      <c r="AD14" s="259"/>
      <c r="AE14" s="259"/>
      <c r="AF14" s="259"/>
      <c r="AG14" s="259"/>
      <c r="AH14" s="259"/>
      <c r="AI14" s="259"/>
      <c r="AJ14" s="259"/>
      <c r="AK14" s="260"/>
      <c r="AL14" s="260"/>
      <c r="AM14" s="260"/>
      <c r="AN14" s="260"/>
    </row>
    <row r="15" spans="2:40" ht="45.75" customHeight="1" thickBot="1" x14ac:dyDescent="0.25">
      <c r="B15" s="285" t="s">
        <v>162</v>
      </c>
      <c r="C15" s="286">
        <v>0</v>
      </c>
      <c r="D15" s="287">
        <f>E124</f>
        <v>6291</v>
      </c>
      <c r="E15" s="288">
        <f>E124/C124</f>
        <v>1</v>
      </c>
      <c r="F15" s="289">
        <v>0</v>
      </c>
      <c r="G15" s="287">
        <f>L124</f>
        <v>6291</v>
      </c>
      <c r="H15" s="290">
        <f>L124/J123</f>
        <v>1</v>
      </c>
      <c r="I15" s="291">
        <v>0</v>
      </c>
      <c r="J15" s="287">
        <f ca="1">R124</f>
        <v>6291</v>
      </c>
      <c r="K15" s="288">
        <f ca="1">R124/P123</f>
        <v>1</v>
      </c>
      <c r="L15" s="275">
        <f>I15-F15</f>
        <v>0</v>
      </c>
      <c r="M15" s="276">
        <f ca="1">ROUND(J15-G15,2)</f>
        <v>0</v>
      </c>
      <c r="N15" s="277" t="str">
        <f ca="1">IF(M15&gt;0,"BONUS",IF(M15&lt;0,"MALUS","-"))</f>
        <v>-</v>
      </c>
      <c r="O15" s="253"/>
      <c r="P15" s="261"/>
      <c r="R15" s="255"/>
      <c r="S15" s="255"/>
      <c r="T15" s="255"/>
      <c r="U15" s="255"/>
      <c r="V15" s="255"/>
      <c r="Y15" s="259"/>
      <c r="Z15" s="259"/>
      <c r="AA15" s="259"/>
      <c r="AB15" s="259"/>
      <c r="AC15" s="259"/>
      <c r="AD15" s="259"/>
      <c r="AE15" s="259"/>
      <c r="AF15" s="259"/>
      <c r="AG15" s="259"/>
      <c r="AH15" s="259"/>
      <c r="AI15" s="259"/>
      <c r="AJ15" s="259"/>
      <c r="AK15" s="260"/>
      <c r="AL15" s="260"/>
      <c r="AM15" s="260"/>
      <c r="AN15" s="260"/>
    </row>
    <row r="16" spans="2:40" ht="45.75" customHeight="1" thickBot="1" x14ac:dyDescent="0.25">
      <c r="B16" s="292" t="s">
        <v>163</v>
      </c>
      <c r="C16" s="293">
        <f ca="1">SUM(C13:C15)</f>
        <v>248140.42741382075</v>
      </c>
      <c r="D16" s="294">
        <f ca="1">SUM(D13:D15)</f>
        <v>33455.067388906151</v>
      </c>
      <c r="E16" s="295">
        <f ca="1">AVERAGE(E13:E15)</f>
        <v>0.78764002438701208</v>
      </c>
      <c r="F16" s="296">
        <f ca="1">SUM(F13:F15)</f>
        <v>309712.62</v>
      </c>
      <c r="G16" s="294">
        <f ca="1">SUM(G13:G15)</f>
        <v>43737.58554</v>
      </c>
      <c r="H16" s="297">
        <f ca="1">AVERAGE(H13:H15)</f>
        <v>1</v>
      </c>
      <c r="I16" s="298">
        <f ca="1">SUM(I13:I15)</f>
        <v>35075</v>
      </c>
      <c r="J16" s="294">
        <f ca="1">SUM(J13:J15)</f>
        <v>12148.525000000001</v>
      </c>
      <c r="K16" s="295" t="e">
        <f ca="1">AVERAGE(K13:K15)</f>
        <v>#DIV/0!</v>
      </c>
      <c r="L16" s="299">
        <f ca="1">SUM(L13:L15)</f>
        <v>-274637.62</v>
      </c>
      <c r="M16" s="300">
        <f ca="1">SUM(M13:M15)</f>
        <v>-31589.059999999998</v>
      </c>
      <c r="N16" s="301" t="str">
        <f ca="1">IF(M13&gt;0,"BONUS",IF(M13&lt;0,"MALUS","-"))</f>
        <v>MALUS</v>
      </c>
      <c r="O16" s="253"/>
      <c r="P16" s="255"/>
      <c r="Q16" s="255"/>
      <c r="R16" s="255"/>
      <c r="S16" s="255"/>
      <c r="T16" s="255"/>
      <c r="U16" s="255"/>
      <c r="V16" s="255"/>
      <c r="Y16" s="259"/>
      <c r="Z16" s="259"/>
      <c r="AA16" s="259"/>
      <c r="AB16" s="259"/>
      <c r="AC16" s="259"/>
      <c r="AD16" s="259"/>
      <c r="AE16" s="259"/>
      <c r="AF16" s="259"/>
      <c r="AG16" s="259"/>
      <c r="AH16" s="259"/>
      <c r="AI16" s="259"/>
      <c r="AJ16" s="259"/>
      <c r="AK16" s="260"/>
      <c r="AL16" s="260"/>
      <c r="AM16" s="260"/>
      <c r="AN16" s="260"/>
    </row>
    <row r="17" spans="1:40" ht="18" x14ac:dyDescent="0.2">
      <c r="B17" s="256"/>
      <c r="C17" s="247"/>
      <c r="D17" s="247"/>
      <c r="E17" s="247"/>
      <c r="F17" s="247"/>
      <c r="G17" s="247"/>
      <c r="H17" s="247"/>
      <c r="I17" s="245"/>
      <c r="J17" s="247"/>
      <c r="K17" s="247"/>
      <c r="L17" s="247"/>
      <c r="M17" s="247"/>
      <c r="N17" s="246"/>
      <c r="O17" s="247"/>
      <c r="P17" s="255"/>
      <c r="Q17" s="255"/>
      <c r="R17" s="255"/>
      <c r="S17" s="255"/>
      <c r="T17" s="255"/>
      <c r="U17" s="255"/>
      <c r="V17" s="255"/>
      <c r="Y17" s="259"/>
      <c r="Z17" s="259"/>
      <c r="AA17" s="259"/>
      <c r="AB17" s="259"/>
      <c r="AC17" s="259"/>
      <c r="AD17" s="259"/>
      <c r="AE17" s="259"/>
      <c r="AF17" s="259"/>
      <c r="AG17" s="259"/>
      <c r="AH17" s="259"/>
      <c r="AI17" s="259"/>
      <c r="AJ17" s="259"/>
      <c r="AK17" s="260"/>
      <c r="AL17" s="260"/>
      <c r="AM17" s="260"/>
      <c r="AN17" s="260"/>
    </row>
    <row r="18" spans="1:40" ht="18.75" thickBot="1" x14ac:dyDescent="0.25">
      <c r="B18" s="256"/>
      <c r="C18" s="247"/>
      <c r="D18" s="247"/>
      <c r="E18" s="247"/>
      <c r="F18" s="247"/>
      <c r="G18" s="247"/>
      <c r="H18" s="247"/>
      <c r="I18" s="245"/>
      <c r="J18" s="246"/>
      <c r="K18" s="246"/>
      <c r="L18" s="246"/>
      <c r="M18" s="246"/>
      <c r="N18" s="246"/>
      <c r="O18" s="247"/>
      <c r="P18" s="247"/>
      <c r="Q18" s="247"/>
      <c r="R18" s="247"/>
      <c r="S18" s="247"/>
      <c r="T18" s="255"/>
      <c r="U18" s="255"/>
      <c r="V18" s="255"/>
      <c r="Y18" s="259"/>
      <c r="Z18" s="259"/>
      <c r="AA18" s="259"/>
      <c r="AB18" s="259"/>
      <c r="AC18" s="259"/>
      <c r="AD18" s="259"/>
      <c r="AE18" s="259"/>
      <c r="AF18" s="259"/>
      <c r="AG18" s="259"/>
      <c r="AH18" s="259"/>
      <c r="AI18" s="259"/>
      <c r="AJ18" s="259"/>
      <c r="AK18" s="260"/>
      <c r="AL18" s="260"/>
      <c r="AM18" s="260"/>
      <c r="AN18" s="260"/>
    </row>
    <row r="19" spans="1:40" ht="30.75" thickBot="1" x14ac:dyDescent="0.25">
      <c r="B19" s="302" t="s">
        <v>164</v>
      </c>
      <c r="C19" s="303"/>
      <c r="D19" s="303"/>
      <c r="E19" s="303"/>
      <c r="F19" s="303"/>
      <c r="G19" s="303"/>
      <c r="H19" s="303"/>
      <c r="I19" s="303"/>
      <c r="J19" s="303"/>
      <c r="K19" s="303"/>
      <c r="L19" s="303"/>
      <c r="M19" s="303"/>
      <c r="N19" s="303"/>
      <c r="O19" s="303"/>
      <c r="P19" s="303"/>
      <c r="Q19" s="303"/>
      <c r="R19" s="303"/>
      <c r="S19" s="303"/>
      <c r="T19" s="303"/>
      <c r="U19" s="303"/>
      <c r="V19" s="304"/>
      <c r="Y19" s="259"/>
      <c r="Z19" s="259"/>
      <c r="AA19" s="259"/>
      <c r="AB19" s="259"/>
      <c r="AC19" s="259"/>
      <c r="AD19" s="259"/>
      <c r="AE19" s="259"/>
      <c r="AF19" s="259"/>
      <c r="AG19" s="259"/>
      <c r="AH19" s="259"/>
      <c r="AI19" s="259"/>
      <c r="AJ19" s="259"/>
      <c r="AK19" s="260"/>
      <c r="AL19" s="260"/>
      <c r="AM19" s="260"/>
      <c r="AN19" s="260"/>
    </row>
    <row r="20" spans="1:40" ht="30" x14ac:dyDescent="0.2">
      <c r="B20" s="258"/>
      <c r="C20" s="258"/>
      <c r="D20" s="258"/>
      <c r="E20" s="258"/>
      <c r="F20" s="258"/>
      <c r="G20" s="258"/>
      <c r="H20" s="258"/>
      <c r="I20" s="258"/>
      <c r="J20" s="258"/>
      <c r="K20" s="258"/>
      <c r="L20" s="258"/>
      <c r="M20" s="258"/>
      <c r="N20" s="258"/>
      <c r="O20" s="258"/>
      <c r="P20" s="258"/>
      <c r="Q20" s="258"/>
      <c r="R20" s="258"/>
      <c r="S20" s="258"/>
      <c r="T20" s="258"/>
      <c r="U20" s="258"/>
      <c r="V20" s="258"/>
      <c r="Y20" s="259"/>
      <c r="Z20" s="259"/>
      <c r="AA20" s="259"/>
      <c r="AB20" s="259"/>
      <c r="AC20" s="259"/>
      <c r="AD20" s="259"/>
      <c r="AE20" s="259"/>
      <c r="AF20" s="259"/>
      <c r="AG20" s="259"/>
      <c r="AH20" s="259"/>
      <c r="AI20" s="259"/>
      <c r="AJ20" s="259"/>
      <c r="AK20" s="260"/>
      <c r="AL20" s="260"/>
      <c r="AM20" s="260"/>
      <c r="AN20" s="260"/>
    </row>
    <row r="21" spans="1:40" ht="30" x14ac:dyDescent="0.2">
      <c r="B21" s="256"/>
      <c r="C21" s="561" t="s">
        <v>165</v>
      </c>
      <c r="D21" s="247"/>
      <c r="E21" s="247"/>
      <c r="F21" s="247"/>
      <c r="G21" s="247"/>
      <c r="H21" s="247"/>
      <c r="I21" s="245"/>
      <c r="J21" s="246"/>
      <c r="K21" s="246"/>
      <c r="L21" s="246"/>
      <c r="M21" s="246"/>
      <c r="N21" s="246"/>
      <c r="O21" s="247"/>
      <c r="P21" s="247"/>
      <c r="Q21" s="247"/>
      <c r="R21" s="247" t="s">
        <v>466</v>
      </c>
      <c r="S21" s="247"/>
      <c r="T21" s="255"/>
      <c r="U21" s="255"/>
      <c r="V21" s="255"/>
      <c r="Y21" s="259"/>
      <c r="Z21" s="259"/>
      <c r="AA21" s="259"/>
      <c r="AB21" s="259"/>
      <c r="AC21" s="259"/>
      <c r="AD21" s="259"/>
      <c r="AE21" s="259"/>
      <c r="AF21" s="259"/>
      <c r="AG21" s="259"/>
      <c r="AH21" s="259"/>
      <c r="AI21" s="259"/>
      <c r="AJ21" s="259"/>
      <c r="AK21" s="260"/>
      <c r="AL21" s="260"/>
      <c r="AM21" s="260"/>
      <c r="AN21" s="260"/>
    </row>
    <row r="22" spans="1:40" ht="18" x14ac:dyDescent="0.2">
      <c r="B22" s="246"/>
      <c r="C22" s="252" t="s">
        <v>166</v>
      </c>
      <c r="D22" s="1280" t="s">
        <v>464</v>
      </c>
      <c r="E22" s="1281"/>
      <c r="F22" s="251"/>
      <c r="G22" s="246"/>
      <c r="H22" s="252" t="s">
        <v>167</v>
      </c>
      <c r="I22" s="1280" t="s">
        <v>464</v>
      </c>
      <c r="J22" s="1281"/>
      <c r="K22" s="251"/>
      <c r="M22" s="252" t="s">
        <v>168</v>
      </c>
      <c r="N22" s="1280"/>
      <c r="O22" s="1281"/>
      <c r="P22" s="247"/>
      <c r="Q22" s="247"/>
      <c r="S22" s="305" t="s">
        <v>136</v>
      </c>
      <c r="T22" s="123"/>
      <c r="U22" s="306">
        <v>1</v>
      </c>
      <c r="V22" s="255"/>
      <c r="Y22" s="259"/>
      <c r="Z22" s="259"/>
      <c r="AA22" s="259"/>
      <c r="AB22" s="259"/>
      <c r="AC22" s="259"/>
      <c r="AD22" s="259"/>
      <c r="AE22" s="259"/>
      <c r="AF22" s="259"/>
      <c r="AG22" s="259"/>
      <c r="AH22" s="259"/>
      <c r="AI22" s="259"/>
      <c r="AJ22" s="259"/>
      <c r="AK22" s="260"/>
      <c r="AL22" s="260"/>
      <c r="AM22" s="260"/>
      <c r="AN22" s="260"/>
    </row>
    <row r="23" spans="1:40" ht="18" x14ac:dyDescent="0.2">
      <c r="B23" s="246"/>
      <c r="C23" s="252" t="s">
        <v>169</v>
      </c>
      <c r="D23" s="1280" t="s">
        <v>328</v>
      </c>
      <c r="E23" s="1281"/>
      <c r="F23" s="251"/>
      <c r="G23" s="246"/>
      <c r="H23" s="252" t="s">
        <v>170</v>
      </c>
      <c r="I23" s="1282">
        <f>D24</f>
        <v>2745.1</v>
      </c>
      <c r="J23" s="1283"/>
      <c r="K23" s="251"/>
      <c r="L23" s="246"/>
      <c r="M23" s="252" t="s">
        <v>171</v>
      </c>
      <c r="N23" s="1284">
        <f>I23</f>
        <v>2745.1</v>
      </c>
      <c r="O23" s="1285"/>
      <c r="P23" s="247"/>
      <c r="Q23" s="247"/>
      <c r="R23" s="247"/>
      <c r="S23" s="305" t="s">
        <v>137</v>
      </c>
      <c r="T23" s="123"/>
      <c r="U23" s="307">
        <v>1</v>
      </c>
      <c r="V23" s="255"/>
      <c r="Y23" s="259"/>
      <c r="Z23" s="259"/>
      <c r="AA23" s="259"/>
      <c r="AB23" s="259"/>
      <c r="AC23" s="259"/>
      <c r="AD23" s="259"/>
      <c r="AE23" s="259"/>
      <c r="AF23" s="259"/>
      <c r="AG23" s="259"/>
      <c r="AH23" s="259"/>
      <c r="AI23" s="259"/>
      <c r="AJ23" s="259"/>
      <c r="AK23" s="260"/>
      <c r="AL23" s="260"/>
      <c r="AM23" s="260"/>
      <c r="AN23" s="260"/>
    </row>
    <row r="24" spans="1:40" ht="18.75" thickBot="1" x14ac:dyDescent="0.25">
      <c r="B24" s="246"/>
      <c r="C24" s="252" t="s">
        <v>172</v>
      </c>
      <c r="D24" s="1266">
        <v>2745.1</v>
      </c>
      <c r="E24" s="1267"/>
      <c r="F24" s="251"/>
      <c r="G24" s="246"/>
      <c r="H24" s="252" t="s">
        <v>329</v>
      </c>
      <c r="I24" s="308">
        <f>IFERROR(I23/D24,"-")</f>
        <v>1</v>
      </c>
      <c r="J24" s="309"/>
      <c r="K24" s="251"/>
      <c r="L24" s="246"/>
      <c r="M24" s="252" t="s">
        <v>173</v>
      </c>
      <c r="N24" s="308">
        <f>I23/N23</f>
        <v>1</v>
      </c>
      <c r="O24" s="310"/>
      <c r="P24" s="247"/>
      <c r="Q24" s="247"/>
      <c r="R24" s="247"/>
      <c r="S24" s="311" t="s">
        <v>138</v>
      </c>
      <c r="T24" s="312"/>
      <c r="U24" s="313">
        <f>U22/U23</f>
        <v>1</v>
      </c>
      <c r="V24" s="255"/>
      <c r="Y24" s="259"/>
      <c r="Z24" s="259"/>
      <c r="AA24" s="259"/>
      <c r="AB24" s="259"/>
      <c r="AC24" s="259"/>
      <c r="AD24" s="259"/>
      <c r="AE24" s="259"/>
      <c r="AF24" s="259"/>
      <c r="AG24" s="259"/>
      <c r="AH24" s="259"/>
      <c r="AI24" s="259"/>
      <c r="AJ24" s="259"/>
      <c r="AK24" s="260"/>
      <c r="AL24" s="260"/>
      <c r="AM24" s="260"/>
      <c r="AN24" s="260"/>
    </row>
    <row r="25" spans="1:40" ht="18.75" thickBot="1" x14ac:dyDescent="0.25">
      <c r="B25" s="256"/>
      <c r="C25" s="247"/>
      <c r="D25" s="247"/>
      <c r="E25" s="247"/>
      <c r="F25" s="247"/>
      <c r="G25" s="247"/>
      <c r="H25" s="247"/>
      <c r="I25" s="245"/>
      <c r="J25" s="246"/>
      <c r="K25" s="246"/>
      <c r="L25" s="246"/>
      <c r="M25" s="246"/>
      <c r="N25" s="246"/>
      <c r="O25" s="247"/>
      <c r="P25" s="247"/>
      <c r="Q25" s="247"/>
      <c r="R25" s="247"/>
      <c r="S25" s="247"/>
      <c r="T25" s="255"/>
      <c r="U25" s="255"/>
      <c r="V25" s="255"/>
      <c r="Y25" s="259"/>
      <c r="Z25" s="259"/>
      <c r="AA25" s="259"/>
      <c r="AB25" s="259"/>
      <c r="AC25" s="259"/>
      <c r="AD25" s="259"/>
      <c r="AE25" s="259"/>
      <c r="AF25" s="259"/>
      <c r="AG25" s="259"/>
      <c r="AH25" s="259"/>
      <c r="AI25" s="259"/>
      <c r="AJ25" s="259"/>
      <c r="AK25" s="260"/>
      <c r="AL25" s="260"/>
      <c r="AM25" s="260"/>
      <c r="AN25" s="260"/>
    </row>
    <row r="26" spans="1:40" ht="36.75" customHeight="1" thickBot="1" x14ac:dyDescent="0.25">
      <c r="A26" s="314"/>
      <c r="B26" s="315" t="s">
        <v>174</v>
      </c>
      <c r="C26" s="315"/>
      <c r="D26" s="315"/>
      <c r="E26" s="315"/>
      <c r="F26" s="315"/>
      <c r="G26" s="315"/>
      <c r="H26" s="315"/>
      <c r="I26" s="315"/>
      <c r="J26" s="316"/>
      <c r="K26" s="316"/>
      <c r="L26" s="316"/>
      <c r="M26" s="316"/>
      <c r="N26" s="316"/>
      <c r="O26" s="316"/>
      <c r="P26" s="316"/>
      <c r="Q26" s="317"/>
      <c r="R26" s="259"/>
      <c r="S26" s="259"/>
      <c r="T26" s="259"/>
      <c r="U26" s="259"/>
      <c r="AD26" s="259"/>
      <c r="AE26" s="259"/>
      <c r="AF26" s="259"/>
      <c r="AG26" s="259"/>
      <c r="AH26" s="259"/>
      <c r="AI26" s="259"/>
      <c r="AJ26" s="259"/>
      <c r="AK26" s="260"/>
      <c r="AL26" s="260"/>
      <c r="AM26" s="260"/>
      <c r="AN26" s="260"/>
    </row>
    <row r="27" spans="1:40" ht="14.25" customHeight="1" x14ac:dyDescent="0.2">
      <c r="A27" s="314"/>
      <c r="B27" s="1268" t="s">
        <v>175</v>
      </c>
      <c r="C27" s="1271" t="s">
        <v>176</v>
      </c>
      <c r="D27" s="1272"/>
      <c r="E27" s="1268" t="s">
        <v>288</v>
      </c>
      <c r="F27" s="1277" t="s">
        <v>327</v>
      </c>
      <c r="G27" s="1277" t="s">
        <v>326</v>
      </c>
      <c r="H27" s="1277" t="s">
        <v>386</v>
      </c>
      <c r="I27" s="1286" t="s">
        <v>385</v>
      </c>
      <c r="J27" s="979" t="s">
        <v>415</v>
      </c>
      <c r="K27" s="980"/>
      <c r="L27" s="969" t="s">
        <v>399</v>
      </c>
      <c r="M27" s="970"/>
      <c r="N27" s="970"/>
      <c r="O27" s="970"/>
      <c r="P27" s="970"/>
      <c r="Q27" s="971"/>
      <c r="R27" s="259"/>
      <c r="S27" s="259"/>
      <c r="T27" s="259"/>
      <c r="U27" s="259"/>
      <c r="AD27" s="259"/>
      <c r="AE27" s="259"/>
      <c r="AF27" s="259"/>
      <c r="AG27" s="259"/>
      <c r="AH27" s="259"/>
      <c r="AI27" s="259"/>
      <c r="AJ27" s="259"/>
      <c r="AK27" s="260"/>
      <c r="AL27" s="260"/>
      <c r="AM27" s="260"/>
      <c r="AN27" s="260"/>
    </row>
    <row r="28" spans="1:40" ht="14.25" customHeight="1" thickBot="1" x14ac:dyDescent="0.25">
      <c r="A28" s="314"/>
      <c r="B28" s="1269"/>
      <c r="C28" s="1273"/>
      <c r="D28" s="1274"/>
      <c r="E28" s="1269"/>
      <c r="F28" s="1278"/>
      <c r="G28" s="1278"/>
      <c r="H28" s="1278"/>
      <c r="I28" s="1287"/>
      <c r="J28" s="981" t="s">
        <v>416</v>
      </c>
      <c r="K28" s="948"/>
      <c r="L28" s="961" t="s">
        <v>177</v>
      </c>
      <c r="M28" s="962"/>
      <c r="N28" s="963" t="s">
        <v>178</v>
      </c>
      <c r="O28" s="964"/>
      <c r="P28" s="1190" t="s">
        <v>163</v>
      </c>
      <c r="Q28" s="1191"/>
      <c r="R28" s="259"/>
      <c r="S28" s="259"/>
      <c r="T28" s="259"/>
      <c r="U28" s="259"/>
      <c r="AD28" s="259"/>
      <c r="AE28" s="259"/>
      <c r="AF28" s="259"/>
      <c r="AG28" s="259"/>
      <c r="AH28" s="259"/>
      <c r="AI28" s="259"/>
      <c r="AJ28" s="259"/>
      <c r="AK28" s="260"/>
      <c r="AL28" s="260"/>
      <c r="AM28" s="260"/>
      <c r="AN28" s="260"/>
    </row>
    <row r="29" spans="1:40" ht="38.25" x14ac:dyDescent="0.2">
      <c r="A29" s="314"/>
      <c r="B29" s="1270"/>
      <c r="C29" s="1275"/>
      <c r="D29" s="1276"/>
      <c r="E29" s="1270"/>
      <c r="F29" s="1279"/>
      <c r="G29" s="1279"/>
      <c r="H29" s="1279"/>
      <c r="I29" s="1288"/>
      <c r="J29" s="953" t="s">
        <v>330</v>
      </c>
      <c r="K29" s="337" t="s">
        <v>331</v>
      </c>
      <c r="L29" s="956" t="s">
        <v>179</v>
      </c>
      <c r="M29" s="957" t="s">
        <v>180</v>
      </c>
      <c r="N29" s="958" t="s">
        <v>179</v>
      </c>
      <c r="O29" s="959" t="s">
        <v>181</v>
      </c>
      <c r="P29" s="960" t="s">
        <v>179</v>
      </c>
      <c r="Q29" s="960" t="s">
        <v>335</v>
      </c>
      <c r="R29" s="259"/>
      <c r="S29" s="259"/>
      <c r="T29" s="259"/>
      <c r="U29" s="259"/>
      <c r="AD29" s="259"/>
      <c r="AE29" s="259"/>
      <c r="AF29" s="259"/>
      <c r="AG29" s="259"/>
      <c r="AH29" s="259"/>
      <c r="AI29" s="259"/>
      <c r="AJ29" s="259"/>
      <c r="AK29" s="260"/>
      <c r="AL29" s="260"/>
      <c r="AM29" s="260"/>
      <c r="AN29" s="260"/>
    </row>
    <row r="30" spans="1:40" ht="15" customHeight="1" thickBot="1" x14ac:dyDescent="0.25">
      <c r="A30" s="314"/>
      <c r="B30" s="322"/>
      <c r="C30" s="1200"/>
      <c r="D30" s="1201"/>
      <c r="E30" s="323" t="s">
        <v>64</v>
      </c>
      <c r="F30" s="324" t="s">
        <v>182</v>
      </c>
      <c r="G30" s="324" t="s">
        <v>64</v>
      </c>
      <c r="H30" s="324" t="s">
        <v>183</v>
      </c>
      <c r="I30" s="951" t="s">
        <v>158</v>
      </c>
      <c r="J30" s="954" t="s">
        <v>183</v>
      </c>
      <c r="K30" s="1083" t="s">
        <v>64</v>
      </c>
      <c r="L30" s="780" t="s">
        <v>64</v>
      </c>
      <c r="M30" s="784" t="s">
        <v>183</v>
      </c>
      <c r="N30" s="782" t="s">
        <v>64</v>
      </c>
      <c r="O30" s="785" t="s">
        <v>183</v>
      </c>
      <c r="P30" s="788" t="s">
        <v>64</v>
      </c>
      <c r="Q30" s="788" t="s">
        <v>68</v>
      </c>
      <c r="R30" s="259"/>
      <c r="S30" s="259"/>
      <c r="T30" s="259"/>
      <c r="U30" s="259"/>
      <c r="AD30" s="259"/>
      <c r="AE30" s="259"/>
      <c r="AF30" s="259"/>
      <c r="AG30" s="259"/>
      <c r="AH30" s="259"/>
      <c r="AI30" s="259"/>
      <c r="AJ30" s="259"/>
      <c r="AK30" s="260"/>
      <c r="AL30" s="260"/>
      <c r="AM30" s="260"/>
      <c r="AN30" s="260"/>
    </row>
    <row r="31" spans="1:40" ht="45.6" customHeight="1" x14ac:dyDescent="0.2">
      <c r="A31" s="314"/>
      <c r="B31" s="325" t="s">
        <v>184</v>
      </c>
      <c r="C31" s="1195" t="s">
        <v>185</v>
      </c>
      <c r="D31" s="1196"/>
      <c r="E31" s="424">
        <f>INDEX('Referenčne količine'!$D28:$G28,MATCH(ObračunOB003!$C$3,'Referenčne količine'!$D$6:$G$6))</f>
        <v>102911.87999999999</v>
      </c>
      <c r="F31" s="1208">
        <f>INDEX('Referenčne količine'!$D33:$G33,MATCH(ObračunOB003!$C$3,'Referenčne količine'!$D$6:$G$6))/1000</f>
        <v>0.11111117751111536</v>
      </c>
      <c r="G31" s="977">
        <f>INDEX('Referenčne količine'!$D21:$G21,MATCH(ObračunOB003!$C$3,'Referenčne količine'!$D$6:$G$6))</f>
        <v>114346.601666826</v>
      </c>
      <c r="H31" s="1211">
        <f>INDEX('Referenčne količine'!$D32:$G32,MATCH(ObračunOB003!$C$3,'Referenčne količine'!$D$6:$G$6))/1000</f>
        <v>0.1</v>
      </c>
      <c r="I31" s="1024">
        <f>G31*$H$31</f>
        <v>11434.660166682601</v>
      </c>
      <c r="J31" s="1292" t="e">
        <f ca="1">ROUND(Q35/K35,6)</f>
        <v>#DIV/0!</v>
      </c>
      <c r="K31" s="965" cm="1">
        <f t="array" aca="1" ref="K31" ca="1">ROUND(INDIRECT($C$3&amp;"!J87"),0)</f>
        <v>0</v>
      </c>
      <c r="L31" s="982" cm="1">
        <f t="array" aca="1" ref="L31" ca="1">ROUND(INDIRECT($C$3&amp;"!J84"),0)</f>
        <v>0</v>
      </c>
      <c r="M31" s="1192" cm="1">
        <f t="array" aca="1" ref="M31" ca="1">ROUND(INDIRECT($C$3&amp;"!e62")/1000,6)</f>
        <v>0.16700000000000001</v>
      </c>
      <c r="N31" s="985" cm="1">
        <f t="array" aca="1" ref="N31" ca="1">ROUND(INDIRECT($C$3&amp;"!J83"),0)</f>
        <v>0</v>
      </c>
      <c r="O31" s="1197" cm="1">
        <f t="array" aca="1" ref="O31" ca="1">ROUND(INDIRECT($C$3&amp;"!e61")/1000,6)</f>
        <v>0.1</v>
      </c>
      <c r="P31" s="989">
        <f ca="1">L31+N31</f>
        <v>0</v>
      </c>
      <c r="Q31" s="791">
        <f ca="1">L31*$M$31+N31*$O$31</f>
        <v>0</v>
      </c>
      <c r="R31" s="259"/>
      <c r="S31" s="259"/>
      <c r="T31" s="259"/>
      <c r="U31" s="259"/>
      <c r="AD31" s="259"/>
      <c r="AE31" s="259"/>
      <c r="AF31" s="259"/>
      <c r="AG31" s="259"/>
      <c r="AH31" s="259"/>
      <c r="AI31" s="259"/>
      <c r="AJ31" s="259"/>
      <c r="AK31" s="260"/>
      <c r="AL31" s="260"/>
      <c r="AM31" s="260"/>
      <c r="AN31" s="260"/>
    </row>
    <row r="32" spans="1:40" ht="45.6" customHeight="1" x14ac:dyDescent="0.2">
      <c r="A32" s="314"/>
      <c r="B32" s="325" t="s">
        <v>184</v>
      </c>
      <c r="C32" s="1195" t="s">
        <v>186</v>
      </c>
      <c r="D32" s="1196"/>
      <c r="E32" s="326">
        <f>INDEX('Referenčne količine'!$D29:$G29,MATCH(ObračunOB003!$C$3,'Referenčne količine'!$D$6:$G$6))</f>
        <v>33467.22</v>
      </c>
      <c r="F32" s="1209">
        <f>INDEX('Referenčne količine'!$D29:$G29,MATCH(ObračunOB003!$C$3,'Referenčne količine'!$D$6:$G$6))</f>
        <v>33467.22</v>
      </c>
      <c r="G32" s="327">
        <f>INDEX('Referenčne količine'!$D22:$G22,MATCH(ObračunOB003!$C$3,'Referenčne količine'!$D$6:$G$6))</f>
        <v>37185.822222235496</v>
      </c>
      <c r="H32" s="1212"/>
      <c r="I32" s="1025">
        <f t="shared" ref="I32:I33" si="0">G32*$H$31</f>
        <v>3718.5822222235497</v>
      </c>
      <c r="J32" s="1293"/>
      <c r="K32" s="966" cm="1">
        <f t="array" aca="1" ref="K32" ca="1">ROUND(INDIRECT($C$3&amp;"!k87"),0)</f>
        <v>0</v>
      </c>
      <c r="L32" s="983" cm="1">
        <f t="array" aca="1" ref="L32" ca="1">ROUND(INDIRECT($C$3&amp;"!K84"),0)</f>
        <v>0</v>
      </c>
      <c r="M32" s="1193"/>
      <c r="N32" s="986" cm="1">
        <f t="array" aca="1" ref="N32" ca="1">ROUND(INDIRECT($C$3&amp;"!K83"),0)</f>
        <v>0</v>
      </c>
      <c r="O32" s="1198"/>
      <c r="P32" s="990">
        <f t="shared" ref="P32:P33" ca="1" si="1">L32+N32</f>
        <v>0</v>
      </c>
      <c r="Q32" s="792">
        <f ca="1">L32*$M$31+N32*$O$31</f>
        <v>0</v>
      </c>
      <c r="R32" s="329"/>
      <c r="S32" s="329"/>
      <c r="T32" s="329"/>
      <c r="U32" s="329"/>
      <c r="AD32" s="329"/>
      <c r="AE32" s="329"/>
      <c r="AF32" s="329"/>
      <c r="AG32" s="329"/>
      <c r="AH32" s="329"/>
      <c r="AI32" s="329"/>
      <c r="AJ32" s="259"/>
      <c r="AK32" s="260"/>
      <c r="AL32" s="260"/>
      <c r="AM32" s="260"/>
      <c r="AN32" s="260"/>
    </row>
    <row r="33" spans="1:42" ht="45.6" customHeight="1" x14ac:dyDescent="0.2">
      <c r="A33" s="314"/>
      <c r="B33" s="726" t="s">
        <v>187</v>
      </c>
      <c r="C33" s="1195" t="s">
        <v>384</v>
      </c>
      <c r="D33" s="1196"/>
      <c r="E33" s="326">
        <f>INDEX('Referenčne količine'!$D30:$G30,MATCH(ObračunOB003!$C$3,'Referenčne količine'!$D$6:$G$6))</f>
        <v>55379.670077390394</v>
      </c>
      <c r="F33" s="1209">
        <f>INDEX('Referenčne količine'!$D30:$G30,MATCH(ObračunOB003!$C$3,'Referenčne količine'!$D$6:$G$6))</f>
        <v>55379.670077390394</v>
      </c>
      <c r="G33" s="327">
        <f>INDEX('Referenčne količine'!$D23:$G23,MATCH(ObračunOB003!$C$3,'Referenčne količine'!$D$6:$G$6))</f>
        <v>61533.003524759268</v>
      </c>
      <c r="H33" s="1212"/>
      <c r="I33" s="1025">
        <f t="shared" si="0"/>
        <v>6153.300352475927</v>
      </c>
      <c r="J33" s="1293"/>
      <c r="K33" s="966" cm="1">
        <f t="array" aca="1" ref="K33" ca="1">ROUND(INDIRECT($C$3&amp;"!L87"),0)</f>
        <v>0</v>
      </c>
      <c r="L33" s="983" cm="1">
        <f t="array" aca="1" ref="L33" ca="1">ROUND(INDIRECT($C$3&amp;"!L84"),0)</f>
        <v>0</v>
      </c>
      <c r="M33" s="1193"/>
      <c r="N33" s="986" cm="1">
        <f t="array" aca="1" ref="N33" ca="1">ROUND(INDIRECT($C$3&amp;"!L83"),0)</f>
        <v>0</v>
      </c>
      <c r="O33" s="1198"/>
      <c r="P33" s="990">
        <f t="shared" ca="1" si="1"/>
        <v>0</v>
      </c>
      <c r="Q33" s="792">
        <f ca="1">L33*$M$31+N33*$O$31</f>
        <v>0</v>
      </c>
      <c r="R33" s="259"/>
      <c r="S33" s="259"/>
      <c r="T33" s="259"/>
      <c r="U33" s="259"/>
      <c r="AD33" s="259"/>
      <c r="AE33" s="259"/>
      <c r="AF33" s="259"/>
      <c r="AG33" s="259"/>
      <c r="AH33" s="259"/>
      <c r="AI33" s="259"/>
      <c r="AJ33" s="259"/>
      <c r="AK33" s="260"/>
      <c r="AL33" s="260"/>
      <c r="AM33" s="260"/>
      <c r="AN33" s="260"/>
    </row>
    <row r="34" spans="1:42" ht="45.6" customHeight="1" thickBot="1" x14ac:dyDescent="0.25">
      <c r="A34" s="314"/>
      <c r="B34" s="725"/>
      <c r="C34" s="1206"/>
      <c r="D34" s="1207"/>
      <c r="E34" s="724"/>
      <c r="F34" s="1210">
        <f>INDEX('Referenčne količine'!$D31:$G31,MATCH(ObračunOB003!$C$3,'Referenčne količine'!$D$6:$G$6))</f>
        <v>0</v>
      </c>
      <c r="G34" s="978"/>
      <c r="H34" s="1213"/>
      <c r="I34" s="1026"/>
      <c r="J34" s="1294"/>
      <c r="K34" s="967"/>
      <c r="L34" s="984"/>
      <c r="M34" s="1194"/>
      <c r="N34" s="987"/>
      <c r="O34" s="1199"/>
      <c r="P34" s="991"/>
      <c r="Q34" s="793"/>
      <c r="R34" s="259"/>
      <c r="S34" s="259"/>
      <c r="T34" s="259"/>
      <c r="U34" s="259"/>
      <c r="AD34" s="259"/>
      <c r="AE34" s="259"/>
      <c r="AF34" s="259"/>
      <c r="AG34" s="259"/>
      <c r="AH34" s="259"/>
      <c r="AI34" s="259"/>
      <c r="AJ34" s="259"/>
      <c r="AK34" s="260"/>
      <c r="AL34" s="260"/>
      <c r="AM34" s="260"/>
      <c r="AN34" s="260"/>
    </row>
    <row r="35" spans="1:42" ht="34.5" customHeight="1" thickBot="1" x14ac:dyDescent="0.25">
      <c r="A35" s="314"/>
      <c r="B35" s="1203" t="s">
        <v>163</v>
      </c>
      <c r="C35" s="1204"/>
      <c r="D35" s="1205"/>
      <c r="E35" s="330">
        <f>SUM(E31:E34)</f>
        <v>191758.77007739036</v>
      </c>
      <c r="F35" s="331"/>
      <c r="G35" s="332">
        <f>SUM(G31:G34)</f>
        <v>213065.42741382075</v>
      </c>
      <c r="H35" s="333"/>
      <c r="I35" s="952">
        <f>SUM(I31:I34)</f>
        <v>21306.542741382076</v>
      </c>
      <c r="J35" s="955"/>
      <c r="K35" s="968">
        <f ca="1">SUM(K31:K34)</f>
        <v>0</v>
      </c>
      <c r="L35" s="781">
        <f ca="1">SUM(L31:L34)</f>
        <v>0</v>
      </c>
      <c r="M35" s="786"/>
      <c r="N35" s="988">
        <f ca="1">SUM(N31:N34)</f>
        <v>0</v>
      </c>
      <c r="O35" s="787"/>
      <c r="P35" s="789">
        <f ca="1">SUM(P31:P34)</f>
        <v>0</v>
      </c>
      <c r="Q35" s="790">
        <f ca="1">SUM(Q31:Q34)</f>
        <v>0</v>
      </c>
      <c r="R35" s="259"/>
      <c r="S35" s="259"/>
      <c r="T35" s="259"/>
      <c r="U35" s="259"/>
      <c r="AD35" s="259"/>
      <c r="AE35" s="259"/>
      <c r="AF35" s="259"/>
      <c r="AG35" s="259"/>
      <c r="AH35" s="259"/>
      <c r="AI35" s="259"/>
      <c r="AJ35" s="259"/>
      <c r="AK35" s="260"/>
      <c r="AL35" s="260"/>
      <c r="AM35" s="260"/>
      <c r="AN35" s="260"/>
    </row>
    <row r="36" spans="1:42" ht="18.75" thickBot="1" x14ac:dyDescent="0.25">
      <c r="B36" s="256"/>
      <c r="C36" s="247"/>
      <c r="D36" s="247"/>
      <c r="E36" s="247"/>
      <c r="F36" s="247"/>
      <c r="G36" s="247"/>
      <c r="H36" s="247"/>
      <c r="I36" s="245"/>
      <c r="J36" s="246"/>
      <c r="K36" s="246"/>
      <c r="L36" s="246"/>
      <c r="M36" s="246"/>
      <c r="N36" s="246"/>
      <c r="O36" s="247"/>
      <c r="P36" s="247"/>
      <c r="Q36" s="247"/>
      <c r="R36" s="247"/>
      <c r="S36" s="247"/>
      <c r="T36" s="255"/>
      <c r="U36" s="255"/>
      <c r="V36" s="255"/>
      <c r="Y36" s="259"/>
      <c r="Z36" s="259"/>
      <c r="AA36" s="259"/>
      <c r="AB36" s="259"/>
      <c r="AC36" s="259"/>
      <c r="AD36" s="259"/>
      <c r="AE36" s="259"/>
      <c r="AF36" s="259"/>
      <c r="AG36" s="259"/>
      <c r="AH36" s="259"/>
      <c r="AI36" s="259"/>
      <c r="AJ36" s="259"/>
      <c r="AK36" s="260"/>
      <c r="AL36" s="260"/>
      <c r="AM36" s="260"/>
      <c r="AN36" s="260"/>
    </row>
    <row r="37" spans="1:42" ht="18" customHeight="1" thickBot="1" x14ac:dyDescent="0.25">
      <c r="A37" s="314"/>
      <c r="B37" s="1307" t="s">
        <v>175</v>
      </c>
      <c r="C37" s="1271" t="s">
        <v>176</v>
      </c>
      <c r="D37" s="1272"/>
      <c r="E37" s="748" t="s">
        <v>417</v>
      </c>
      <c r="F37" s="949"/>
      <c r="G37" s="949"/>
      <c r="H37" s="949"/>
      <c r="I37" s="949"/>
      <c r="J37" s="949"/>
      <c r="K37" s="949"/>
      <c r="L37" s="949"/>
      <c r="M37" s="950"/>
      <c r="S37" s="255"/>
      <c r="T37" s="255"/>
      <c r="U37" s="255"/>
      <c r="V37" s="255"/>
      <c r="Y37" s="259"/>
      <c r="Z37" s="259"/>
      <c r="AA37" s="259"/>
      <c r="AB37" s="259"/>
      <c r="AC37" s="259"/>
      <c r="AD37" s="259"/>
      <c r="AE37" s="259"/>
      <c r="AF37" s="259"/>
      <c r="AG37" s="259"/>
      <c r="AH37" s="259"/>
      <c r="AI37" s="259"/>
      <c r="AJ37" s="259"/>
      <c r="AK37" s="260"/>
      <c r="AL37" s="260"/>
      <c r="AM37" s="260"/>
      <c r="AN37" s="260"/>
    </row>
    <row r="38" spans="1:42" ht="38.25" x14ac:dyDescent="0.2">
      <c r="A38" s="314"/>
      <c r="B38" s="1308"/>
      <c r="C38" s="1275"/>
      <c r="D38" s="1276"/>
      <c r="E38" s="338" t="s">
        <v>400</v>
      </c>
      <c r="F38" s="336" t="s">
        <v>401</v>
      </c>
      <c r="G38" s="337" t="s">
        <v>402</v>
      </c>
      <c r="H38" s="338" t="s">
        <v>190</v>
      </c>
      <c r="I38" s="336" t="s">
        <v>191</v>
      </c>
      <c r="J38" s="339" t="s">
        <v>192</v>
      </c>
      <c r="K38" s="340" t="s">
        <v>193</v>
      </c>
      <c r="L38" s="337" t="s">
        <v>194</v>
      </c>
      <c r="M38" s="341" t="s">
        <v>195</v>
      </c>
      <c r="S38" s="255"/>
      <c r="T38" s="255"/>
      <c r="U38" s="255"/>
      <c r="V38" s="255"/>
      <c r="W38" s="255"/>
      <c r="X38" s="255"/>
      <c r="AJ38" s="259"/>
      <c r="AK38" s="259"/>
      <c r="AL38" s="259"/>
      <c r="AM38" s="260"/>
      <c r="AN38" s="260"/>
      <c r="AO38" s="260"/>
      <c r="AP38" s="260"/>
    </row>
    <row r="39" spans="1:42" ht="18.75" thickBot="1" x14ac:dyDescent="0.25">
      <c r="A39" s="314"/>
      <c r="B39" s="322"/>
      <c r="C39" s="1200"/>
      <c r="D39" s="1201"/>
      <c r="E39" s="323" t="s">
        <v>64</v>
      </c>
      <c r="F39" s="324" t="s">
        <v>64</v>
      </c>
      <c r="G39" s="562" t="s">
        <v>64</v>
      </c>
      <c r="H39" s="323" t="s">
        <v>64</v>
      </c>
      <c r="I39" s="324" t="s">
        <v>64</v>
      </c>
      <c r="J39" s="344" t="s">
        <v>64</v>
      </c>
      <c r="K39" s="322" t="s">
        <v>158</v>
      </c>
      <c r="L39" s="732" t="s">
        <v>158</v>
      </c>
      <c r="M39" s="345" t="s">
        <v>158</v>
      </c>
      <c r="S39" s="255"/>
      <c r="T39" s="255"/>
      <c r="U39" s="255"/>
      <c r="V39" s="255"/>
      <c r="W39" s="255"/>
      <c r="X39" s="255"/>
      <c r="Y39" s="346"/>
      <c r="Z39" s="346"/>
      <c r="AA39" s="346"/>
      <c r="AB39" s="346"/>
      <c r="AC39" s="346"/>
      <c r="AD39" s="346"/>
      <c r="AE39" s="346"/>
      <c r="AF39" s="346"/>
      <c r="AG39" s="346"/>
      <c r="AH39" s="346"/>
      <c r="AI39" s="346"/>
      <c r="AJ39" s="347"/>
      <c r="AK39" s="347"/>
      <c r="AL39" s="347"/>
      <c r="AM39" s="260"/>
      <c r="AN39" s="260"/>
      <c r="AO39" s="260"/>
      <c r="AP39" s="260"/>
    </row>
    <row r="40" spans="1:42" ht="39.75" customHeight="1" x14ac:dyDescent="0.2">
      <c r="A40" s="314"/>
      <c r="B40" s="726" t="s">
        <v>184</v>
      </c>
      <c r="C40" s="1195" t="s">
        <v>185</v>
      </c>
      <c r="D40" s="1202"/>
      <c r="E40" s="1003">
        <f ca="1">E31-K31</f>
        <v>102911.87999999999</v>
      </c>
      <c r="F40" s="1004" t="s">
        <v>135</v>
      </c>
      <c r="G40" s="1014">
        <f ca="1">SUM(E40:F40)</f>
        <v>102911.87999999999</v>
      </c>
      <c r="H40" s="1003">
        <f ca="1">G31-P31</f>
        <v>114346.601666826</v>
      </c>
      <c r="I40" s="1004" t="s">
        <v>135</v>
      </c>
      <c r="J40" s="1015">
        <f ca="1">SUM(H40:I40)</f>
        <v>114346.601666826</v>
      </c>
      <c r="K40" s="564">
        <f ca="1">I31-Q31</f>
        <v>11434.660166682601</v>
      </c>
      <c r="L40" s="972" t="s">
        <v>135</v>
      </c>
      <c r="M40" s="349">
        <f ca="1">SUM(K40:L40)</f>
        <v>11434.660166682601</v>
      </c>
      <c r="S40" s="255"/>
      <c r="T40" s="255"/>
      <c r="U40" s="255"/>
      <c r="V40" s="255"/>
      <c r="W40" s="255"/>
      <c r="X40" s="255"/>
      <c r="Y40" s="350"/>
      <c r="AJ40" s="351"/>
      <c r="AK40" s="259"/>
      <c r="AL40" s="352"/>
      <c r="AM40" s="353"/>
      <c r="AN40" s="260"/>
      <c r="AO40" s="260"/>
      <c r="AP40" s="260"/>
    </row>
    <row r="41" spans="1:42" ht="39.75" customHeight="1" x14ac:dyDescent="0.2">
      <c r="A41" s="314"/>
      <c r="B41" s="726" t="s">
        <v>184</v>
      </c>
      <c r="C41" s="1195" t="s">
        <v>186</v>
      </c>
      <c r="D41" s="1202"/>
      <c r="E41" s="1005">
        <f ca="1">E32-K32</f>
        <v>33467.22</v>
      </c>
      <c r="F41" s="1006" t="s">
        <v>135</v>
      </c>
      <c r="G41" s="1008">
        <f ca="1">SUM(E41:F41)</f>
        <v>33467.22</v>
      </c>
      <c r="H41" s="1005">
        <f ca="1">G32-P32</f>
        <v>37185.822222235496</v>
      </c>
      <c r="I41" s="1006" t="s">
        <v>135</v>
      </c>
      <c r="J41" s="1016">
        <f ca="1">SUM(H41:I41)</f>
        <v>37185.822222235496</v>
      </c>
      <c r="K41" s="565">
        <f ca="1">I32-Q32</f>
        <v>3718.5822222235497</v>
      </c>
      <c r="L41" s="973" t="s">
        <v>135</v>
      </c>
      <c r="M41" s="355">
        <f ca="1">SUM(K41:L41)</f>
        <v>3718.5822222235497</v>
      </c>
      <c r="S41" s="255"/>
      <c r="T41" s="255"/>
      <c r="U41" s="255"/>
      <c r="V41" s="255"/>
      <c r="W41" s="255"/>
      <c r="X41" s="255"/>
      <c r="Y41" s="350"/>
      <c r="Z41" s="350"/>
      <c r="AA41" s="350"/>
      <c r="AB41" s="350"/>
      <c r="AC41" s="350"/>
      <c r="AD41" s="350"/>
      <c r="AE41" s="350"/>
      <c r="AF41" s="350"/>
      <c r="AG41" s="350"/>
      <c r="AH41" s="350"/>
      <c r="AI41" s="350"/>
      <c r="AJ41" s="351"/>
      <c r="AK41" s="259"/>
      <c r="AL41" s="352"/>
      <c r="AM41" s="353"/>
      <c r="AN41" s="260"/>
      <c r="AO41" s="260"/>
      <c r="AP41" s="260"/>
    </row>
    <row r="42" spans="1:42" ht="39.75" customHeight="1" x14ac:dyDescent="0.2">
      <c r="A42" s="314"/>
      <c r="B42" s="726" t="s">
        <v>187</v>
      </c>
      <c r="C42" s="1195" t="s">
        <v>384</v>
      </c>
      <c r="D42" s="1196"/>
      <c r="E42" s="1007" t="s">
        <v>135</v>
      </c>
      <c r="F42" s="1017">
        <f ca="1">E33-K33</f>
        <v>55379.670077390394</v>
      </c>
      <c r="G42" s="1008">
        <f ca="1">SUM(E42:F42)</f>
        <v>55379.670077390394</v>
      </c>
      <c r="H42" s="1007" t="s">
        <v>135</v>
      </c>
      <c r="I42" s="731">
        <f ca="1">G33-P33</f>
        <v>61533.003524759268</v>
      </c>
      <c r="J42" s="1016">
        <f ca="1">SUM(H42:I42)</f>
        <v>61533.003524759268</v>
      </c>
      <c r="K42" s="752" t="s">
        <v>135</v>
      </c>
      <c r="L42" s="974">
        <f ca="1">I33-Q33</f>
        <v>6153.300352475927</v>
      </c>
      <c r="M42" s="581">
        <f ca="1">ROUND(SUM(K42:L42),2)</f>
        <v>6153.3</v>
      </c>
      <c r="S42" s="255"/>
      <c r="T42" s="255"/>
      <c r="U42" s="255"/>
      <c r="V42" s="255"/>
      <c r="W42" s="255"/>
      <c r="X42" s="255"/>
      <c r="Y42" s="350"/>
      <c r="AJ42" s="351"/>
      <c r="AK42" s="357"/>
      <c r="AL42" s="352"/>
      <c r="AM42" s="353"/>
      <c r="AN42" s="260"/>
      <c r="AO42" s="260"/>
      <c r="AP42" s="260"/>
    </row>
    <row r="43" spans="1:42" ht="39.75" customHeight="1" thickBot="1" x14ac:dyDescent="0.25">
      <c r="A43" s="314"/>
      <c r="B43" s="725"/>
      <c r="C43" s="1206"/>
      <c r="D43" s="1291"/>
      <c r="E43" s="1009"/>
      <c r="F43" s="1018"/>
      <c r="G43" s="1010"/>
      <c r="H43" s="1009"/>
      <c r="I43" s="383"/>
      <c r="J43" s="1019"/>
      <c r="K43" s="753"/>
      <c r="L43" s="975"/>
      <c r="M43" s="976"/>
      <c r="S43" s="255"/>
      <c r="T43" s="255"/>
      <c r="U43" s="255"/>
      <c r="V43" s="255"/>
      <c r="W43" s="255"/>
      <c r="X43" s="255"/>
      <c r="Y43" s="350"/>
      <c r="AJ43" s="351"/>
      <c r="AK43" s="357"/>
      <c r="AL43" s="352"/>
      <c r="AM43" s="353"/>
      <c r="AN43" s="260"/>
      <c r="AO43" s="260"/>
      <c r="AP43" s="260"/>
    </row>
    <row r="44" spans="1:42" ht="40.5" customHeight="1" thickBot="1" x14ac:dyDescent="0.25">
      <c r="A44" s="314"/>
      <c r="B44" s="1203" t="s">
        <v>163</v>
      </c>
      <c r="C44" s="1204"/>
      <c r="D44" s="1205"/>
      <c r="E44" s="1020">
        <f t="shared" ref="E44:M44" ca="1" si="2">SUM(E40:E43)</f>
        <v>136379.09999999998</v>
      </c>
      <c r="F44" s="1021">
        <f t="shared" ca="1" si="2"/>
        <v>55379.670077390394</v>
      </c>
      <c r="G44" s="1022">
        <f t="shared" ca="1" si="2"/>
        <v>191758.77007739036</v>
      </c>
      <c r="H44" s="1020">
        <f t="shared" ca="1" si="2"/>
        <v>151532.42388906149</v>
      </c>
      <c r="I44" s="1021">
        <f t="shared" ca="1" si="2"/>
        <v>61533.003524759268</v>
      </c>
      <c r="J44" s="1023">
        <f t="shared" ca="1" si="2"/>
        <v>213065.42741382075</v>
      </c>
      <c r="K44" s="563">
        <f t="shared" ca="1" si="2"/>
        <v>15153.24238890615</v>
      </c>
      <c r="L44" s="477">
        <f t="shared" ca="1" si="2"/>
        <v>6153.300352475927</v>
      </c>
      <c r="M44" s="996">
        <f t="shared" ca="1" si="2"/>
        <v>21306.542388906149</v>
      </c>
      <c r="S44" s="255"/>
      <c r="T44" s="255"/>
      <c r="U44" s="255"/>
      <c r="V44" s="255"/>
      <c r="W44" s="255"/>
      <c r="X44" s="255"/>
      <c r="Y44" s="350"/>
      <c r="AJ44" s="350"/>
      <c r="AK44" s="259"/>
      <c r="AL44" s="352"/>
      <c r="AM44" s="353"/>
      <c r="AN44" s="260"/>
      <c r="AO44" s="260"/>
      <c r="AP44" s="260"/>
    </row>
    <row r="45" spans="1:42" ht="18" x14ac:dyDescent="0.2">
      <c r="B45" s="256"/>
      <c r="C45" s="247"/>
      <c r="D45" s="247"/>
      <c r="E45" s="247"/>
      <c r="F45" s="247"/>
      <c r="G45" s="247"/>
      <c r="H45" s="247"/>
      <c r="I45" s="247"/>
      <c r="J45" s="247"/>
      <c r="K45" s="247"/>
      <c r="L45" s="247"/>
      <c r="M45" s="247"/>
      <c r="N45" s="247"/>
      <c r="O45" s="247"/>
      <c r="P45" s="247"/>
      <c r="Q45" s="247"/>
      <c r="R45" s="255"/>
      <c r="S45" s="255"/>
      <c r="V45" s="255"/>
      <c r="Y45" s="357"/>
      <c r="Z45" s="259"/>
      <c r="AA45" s="259"/>
      <c r="AB45" s="259"/>
      <c r="AC45" s="259"/>
      <c r="AD45" s="259"/>
      <c r="AE45" s="259"/>
      <c r="AF45" s="259"/>
      <c r="AG45" s="259"/>
      <c r="AH45" s="259"/>
      <c r="AI45" s="259"/>
      <c r="AJ45" s="259"/>
      <c r="AK45" s="260"/>
      <c r="AL45" s="260"/>
      <c r="AM45" s="260"/>
      <c r="AN45" s="260"/>
    </row>
    <row r="46" spans="1:42" ht="18.75" thickBot="1" x14ac:dyDescent="0.25">
      <c r="B46" s="257" t="s">
        <v>196</v>
      </c>
      <c r="C46" s="247"/>
      <c r="D46" s="247"/>
      <c r="E46" s="247"/>
      <c r="F46" s="360"/>
      <c r="G46" s="247"/>
      <c r="H46" s="247"/>
      <c r="I46" s="245"/>
      <c r="J46" s="246"/>
      <c r="K46" s="246"/>
      <c r="L46" s="246"/>
      <c r="M46" s="246"/>
      <c r="N46" s="246"/>
      <c r="O46" s="247"/>
      <c r="P46" s="247"/>
      <c r="Q46" s="247"/>
      <c r="R46" s="247"/>
      <c r="S46" s="247"/>
      <c r="T46" s="255"/>
      <c r="U46" s="255"/>
      <c r="V46" s="255"/>
      <c r="Y46" s="259"/>
      <c r="Z46" s="357"/>
      <c r="AA46" s="357"/>
      <c r="AB46" s="357"/>
      <c r="AC46" s="357"/>
      <c r="AD46" s="357"/>
      <c r="AE46" s="357"/>
      <c r="AF46" s="357"/>
      <c r="AG46" s="357"/>
      <c r="AH46" s="357"/>
      <c r="AI46" s="357"/>
      <c r="AJ46" s="357"/>
      <c r="AK46" s="260"/>
      <c r="AL46" s="260"/>
      <c r="AM46" s="260"/>
      <c r="AN46" s="260"/>
    </row>
    <row r="47" spans="1:42" ht="36.75" customHeight="1" thickBot="1" x14ac:dyDescent="0.25">
      <c r="B47" s="361" t="s">
        <v>197</v>
      </c>
      <c r="C47" s="316"/>
      <c r="D47" s="316"/>
      <c r="E47" s="316"/>
      <c r="F47" s="316"/>
      <c r="G47" s="316"/>
      <c r="H47" s="316"/>
      <c r="I47" s="316"/>
      <c r="J47" s="316"/>
      <c r="K47" s="316"/>
      <c r="L47" s="316"/>
      <c r="M47" s="316"/>
      <c r="N47" s="316"/>
      <c r="O47" s="316"/>
      <c r="P47" s="316"/>
      <c r="Q47" s="317"/>
      <c r="R47" s="259"/>
      <c r="S47" s="259"/>
      <c r="T47" s="259"/>
      <c r="U47" s="259"/>
      <c r="AD47" s="259"/>
      <c r="AE47" s="259"/>
      <c r="AF47" s="259"/>
      <c r="AG47" s="259"/>
      <c r="AH47" s="259"/>
      <c r="AI47" s="259"/>
      <c r="AJ47" s="259"/>
      <c r="AK47" s="260"/>
      <c r="AL47" s="260"/>
      <c r="AM47" s="260"/>
      <c r="AN47" s="260"/>
    </row>
    <row r="48" spans="1:42" ht="45" customHeight="1" x14ac:dyDescent="0.2">
      <c r="B48" s="1269" t="s">
        <v>198</v>
      </c>
      <c r="C48" s="1278" t="s">
        <v>176</v>
      </c>
      <c r="D48" s="1301" t="s">
        <v>387</v>
      </c>
      <c r="E48" s="1268" t="s">
        <v>288</v>
      </c>
      <c r="F48" s="1277" t="s">
        <v>327</v>
      </c>
      <c r="G48" s="1277" t="s">
        <v>326</v>
      </c>
      <c r="H48" s="1277" t="s">
        <v>386</v>
      </c>
      <c r="I48" s="1302" t="s">
        <v>385</v>
      </c>
      <c r="J48" s="979" t="s">
        <v>415</v>
      </c>
      <c r="K48" s="980"/>
      <c r="L48" s="749" t="s">
        <v>334</v>
      </c>
      <c r="M48" s="750"/>
      <c r="N48" s="750"/>
      <c r="O48" s="750"/>
      <c r="P48" s="751"/>
      <c r="Q48" s="751"/>
      <c r="R48" s="259"/>
      <c r="S48" s="259"/>
      <c r="T48" s="259"/>
      <c r="U48" s="259"/>
      <c r="AD48" s="259"/>
      <c r="AE48" s="259"/>
      <c r="AF48" s="259"/>
      <c r="AG48" s="259"/>
      <c r="AH48" s="259"/>
      <c r="AI48" s="259"/>
      <c r="AJ48" s="259"/>
      <c r="AK48" s="260"/>
      <c r="AL48" s="260"/>
      <c r="AM48" s="260"/>
      <c r="AN48" s="260"/>
    </row>
    <row r="49" spans="2:42" ht="30" customHeight="1" thickBot="1" x14ac:dyDescent="0.25">
      <c r="B49" s="1269"/>
      <c r="C49" s="1278"/>
      <c r="D49" s="1301"/>
      <c r="E49" s="1269"/>
      <c r="F49" s="1278"/>
      <c r="G49" s="1278"/>
      <c r="H49" s="1278"/>
      <c r="I49" s="1303"/>
      <c r="J49" s="981" t="s">
        <v>416</v>
      </c>
      <c r="K49" s="948"/>
      <c r="L49" s="1305" t="s">
        <v>177</v>
      </c>
      <c r="M49" s="1306"/>
      <c r="N49" s="719" t="s">
        <v>178</v>
      </c>
      <c r="O49" s="992"/>
      <c r="P49" s="929" t="s">
        <v>163</v>
      </c>
      <c r="Q49" s="929"/>
      <c r="R49" s="259"/>
      <c r="S49" s="259"/>
      <c r="T49" s="259"/>
      <c r="U49" s="259"/>
      <c r="AD49" s="259"/>
      <c r="AE49" s="259"/>
      <c r="AF49" s="259"/>
      <c r="AG49" s="259"/>
      <c r="AH49" s="259"/>
      <c r="AI49" s="259"/>
      <c r="AJ49" s="259"/>
      <c r="AK49" s="260"/>
      <c r="AL49" s="260"/>
      <c r="AM49" s="260"/>
      <c r="AN49" s="260"/>
    </row>
    <row r="50" spans="2:42" ht="65.25" customHeight="1" x14ac:dyDescent="0.2">
      <c r="B50" s="1270"/>
      <c r="C50" s="1279"/>
      <c r="D50" s="1290"/>
      <c r="E50" s="1270"/>
      <c r="F50" s="1279"/>
      <c r="G50" s="1279"/>
      <c r="H50" s="1279"/>
      <c r="I50" s="1304"/>
      <c r="J50" s="953" t="s">
        <v>330</v>
      </c>
      <c r="K50" s="337" t="s">
        <v>331</v>
      </c>
      <c r="L50" s="319" t="s">
        <v>179</v>
      </c>
      <c r="M50" s="320" t="s">
        <v>180</v>
      </c>
      <c r="N50" s="321" t="s">
        <v>179</v>
      </c>
      <c r="O50" s="321" t="s">
        <v>181</v>
      </c>
      <c r="P50" s="930" t="s">
        <v>179</v>
      </c>
      <c r="Q50" s="339" t="s">
        <v>189</v>
      </c>
      <c r="R50" s="259"/>
      <c r="S50" s="259"/>
      <c r="T50" s="259"/>
      <c r="U50" s="259"/>
      <c r="AD50" s="259"/>
      <c r="AE50" s="259"/>
      <c r="AF50" s="259"/>
      <c r="AG50" s="259"/>
      <c r="AH50" s="259"/>
      <c r="AI50" s="259"/>
      <c r="AJ50" s="259"/>
      <c r="AK50" s="260"/>
      <c r="AL50" s="260"/>
      <c r="AM50" s="260"/>
      <c r="AN50" s="260"/>
    </row>
    <row r="51" spans="2:42" ht="15" customHeight="1" thickBot="1" x14ac:dyDescent="0.25">
      <c r="B51" s="362"/>
      <c r="C51" s="1085"/>
      <c r="D51" s="322"/>
      <c r="E51" s="342" t="s">
        <v>64</v>
      </c>
      <c r="F51" s="343" t="s">
        <v>182</v>
      </c>
      <c r="G51" s="343" t="s">
        <v>64</v>
      </c>
      <c r="H51" s="343" t="s">
        <v>183</v>
      </c>
      <c r="I51" s="418" t="s">
        <v>158</v>
      </c>
      <c r="J51" s="954" t="s">
        <v>183</v>
      </c>
      <c r="K51" s="1083" t="s">
        <v>64</v>
      </c>
      <c r="L51" s="780" t="s">
        <v>64</v>
      </c>
      <c r="M51" s="784" t="s">
        <v>183</v>
      </c>
      <c r="N51" s="782" t="s">
        <v>64</v>
      </c>
      <c r="O51" s="782" t="s">
        <v>183</v>
      </c>
      <c r="P51" s="931" t="s">
        <v>64</v>
      </c>
      <c r="Q51" s="375" t="s">
        <v>158</v>
      </c>
      <c r="R51" s="259"/>
      <c r="S51" s="259"/>
      <c r="T51" s="259"/>
      <c r="U51" s="259"/>
      <c r="AD51" s="259"/>
      <c r="AE51" s="259"/>
      <c r="AF51" s="259"/>
      <c r="AG51" s="259"/>
      <c r="AH51" s="259"/>
      <c r="AI51" s="259"/>
      <c r="AJ51" s="259"/>
      <c r="AK51" s="260"/>
      <c r="AL51" s="260"/>
      <c r="AM51" s="260"/>
      <c r="AN51" s="260"/>
    </row>
    <row r="52" spans="2:42" ht="45.6" customHeight="1" x14ac:dyDescent="0.2">
      <c r="B52" s="364" t="s">
        <v>184</v>
      </c>
      <c r="C52" s="365" t="str">
        <f>C31</f>
        <v>OGREVANJE</v>
      </c>
      <c r="D52" s="366">
        <v>1</v>
      </c>
      <c r="E52" s="367">
        <f>ROUND(E31*D52,0)</f>
        <v>102912</v>
      </c>
      <c r="F52" s="1295">
        <f>$F$31</f>
        <v>0.11111117751111536</v>
      </c>
      <c r="G52" s="368">
        <f>ROUND(G31*D52,0)</f>
        <v>114347</v>
      </c>
      <c r="H52" s="1295">
        <f>ROUND(H31,6)</f>
        <v>0.1</v>
      </c>
      <c r="I52" s="794">
        <f>ROUND(G52*$H$52,2)</f>
        <v>11434.7</v>
      </c>
      <c r="J52" s="1292" t="e">
        <f ca="1">ROUND(Q56/K56,6)</f>
        <v>#DIV/0!</v>
      </c>
      <c r="K52" s="993">
        <f ca="1">K31*D52</f>
        <v>0</v>
      </c>
      <c r="L52" s="797">
        <f ca="1">ROUND(L31*D52,0)</f>
        <v>0</v>
      </c>
      <c r="M52" s="1298">
        <f ca="1">ROUND(M31,6)</f>
        <v>0.16700000000000001</v>
      </c>
      <c r="N52" s="798">
        <f ca="1">ROUND(N31*D52,0)</f>
        <v>0</v>
      </c>
      <c r="O52" s="1298">
        <f ca="1">ROUND(O31,6)</f>
        <v>0.1</v>
      </c>
      <c r="P52" s="932">
        <f ca="1">L52+N52</f>
        <v>0</v>
      </c>
      <c r="Q52" s="348">
        <f ca="1">L52*$M$31+N52*$O$31</f>
        <v>0</v>
      </c>
      <c r="R52" s="259"/>
      <c r="S52" s="259"/>
      <c r="T52" s="259"/>
      <c r="U52" s="259"/>
      <c r="AD52" s="259"/>
      <c r="AE52" s="259"/>
      <c r="AF52" s="259"/>
      <c r="AG52" s="259"/>
      <c r="AH52" s="259"/>
      <c r="AI52" s="259"/>
      <c r="AJ52" s="259"/>
      <c r="AK52" s="260"/>
      <c r="AL52" s="260"/>
      <c r="AM52" s="260"/>
      <c r="AN52" s="260"/>
    </row>
    <row r="53" spans="2:42" ht="45.6" customHeight="1" x14ac:dyDescent="0.2">
      <c r="B53" s="364" t="s">
        <v>184</v>
      </c>
      <c r="C53" s="365" t="str">
        <f>C32</f>
        <v>SANITARNA TOPLA VODA</v>
      </c>
      <c r="D53" s="366">
        <f>D52</f>
        <v>1</v>
      </c>
      <c r="E53" s="566">
        <f>ROUND(E32*D53,0)</f>
        <v>33467</v>
      </c>
      <c r="F53" s="1296"/>
      <c r="G53" s="478">
        <f>ROUND(G32*D53,0)</f>
        <v>37186</v>
      </c>
      <c r="H53" s="1296"/>
      <c r="I53" s="795">
        <f t="shared" ref="I53:I54" si="3">ROUND(G53*$H$52,2)</f>
        <v>3718.6</v>
      </c>
      <c r="J53" s="1293"/>
      <c r="K53" s="994">
        <f t="shared" ref="K53:K54" ca="1" si="4">K32*D53</f>
        <v>0</v>
      </c>
      <c r="L53" s="799">
        <f ca="1">ROUND(L32*D53,0)</f>
        <v>0</v>
      </c>
      <c r="M53" s="1299"/>
      <c r="N53" s="729">
        <f ca="1">ROUND(N32*D53,0)</f>
        <v>0</v>
      </c>
      <c r="O53" s="1299"/>
      <c r="P53" s="933">
        <f ca="1">L53+N53</f>
        <v>0</v>
      </c>
      <c r="Q53" s="380">
        <f t="shared" ref="Q53:Q54" ca="1" si="5">L53*$M$31+N53*$O$31</f>
        <v>0</v>
      </c>
      <c r="R53" s="259"/>
      <c r="S53" s="259"/>
      <c r="T53" s="259"/>
      <c r="U53" s="259"/>
      <c r="AD53" s="259"/>
      <c r="AE53" s="259"/>
      <c r="AF53" s="259"/>
      <c r="AG53" s="259"/>
      <c r="AH53" s="259"/>
      <c r="AI53" s="259"/>
      <c r="AJ53" s="259"/>
      <c r="AK53" s="260"/>
      <c r="AL53" s="260"/>
      <c r="AM53" s="260"/>
      <c r="AN53" s="260"/>
    </row>
    <row r="54" spans="2:42" ht="45.6" customHeight="1" x14ac:dyDescent="0.2">
      <c r="B54" s="364" t="s">
        <v>187</v>
      </c>
      <c r="C54" s="365" t="str">
        <f>C33</f>
        <v>MEHANSKO PREZRAČEVANJE</v>
      </c>
      <c r="D54" s="366">
        <f>D53</f>
        <v>1</v>
      </c>
      <c r="E54" s="566">
        <f>ROUND(E33*D54,0)</f>
        <v>55380</v>
      </c>
      <c r="F54" s="1296"/>
      <c r="G54" s="478">
        <f>ROUND(G33*D54,0)</f>
        <v>61533</v>
      </c>
      <c r="H54" s="1296"/>
      <c r="I54" s="795">
        <f t="shared" si="3"/>
        <v>6153.3</v>
      </c>
      <c r="J54" s="1293"/>
      <c r="K54" s="994">
        <f t="shared" ca="1" si="4"/>
        <v>0</v>
      </c>
      <c r="L54" s="799">
        <f ca="1">ROUND(L33*D54,0)</f>
        <v>0</v>
      </c>
      <c r="M54" s="1299"/>
      <c r="N54" s="729">
        <f ca="1">ROUND(N33*D54,0)</f>
        <v>0</v>
      </c>
      <c r="O54" s="1299"/>
      <c r="P54" s="933">
        <f ca="1">L54+N54</f>
        <v>0</v>
      </c>
      <c r="Q54" s="380">
        <f t="shared" ca="1" si="5"/>
        <v>0</v>
      </c>
      <c r="R54" s="259"/>
      <c r="S54" s="259"/>
      <c r="T54" s="259"/>
      <c r="U54" s="259"/>
      <c r="AD54" s="259"/>
      <c r="AE54" s="259"/>
      <c r="AF54" s="259"/>
      <c r="AG54" s="259"/>
      <c r="AH54" s="259"/>
      <c r="AI54" s="259"/>
      <c r="AJ54" s="259"/>
      <c r="AK54" s="260"/>
      <c r="AL54" s="260"/>
      <c r="AM54" s="260"/>
      <c r="AN54" s="260"/>
    </row>
    <row r="55" spans="2:42" ht="45.6" customHeight="1" thickBot="1" x14ac:dyDescent="0.25">
      <c r="B55" s="937"/>
      <c r="C55" s="938"/>
      <c r="D55" s="939"/>
      <c r="E55" s="727"/>
      <c r="F55" s="1297"/>
      <c r="G55" s="728"/>
      <c r="H55" s="1297"/>
      <c r="I55" s="796"/>
      <c r="J55" s="1294"/>
      <c r="K55" s="995"/>
      <c r="L55" s="800"/>
      <c r="M55" s="1300"/>
      <c r="N55" s="730"/>
      <c r="O55" s="1300"/>
      <c r="P55" s="934"/>
      <c r="Q55" s="380"/>
      <c r="R55" s="259"/>
      <c r="S55" s="259"/>
      <c r="T55" s="259"/>
      <c r="U55" s="259"/>
      <c r="AD55" s="259"/>
      <c r="AE55" s="259"/>
      <c r="AF55" s="259"/>
      <c r="AG55" s="259"/>
      <c r="AH55" s="259"/>
      <c r="AI55" s="259"/>
      <c r="AJ55" s="259"/>
      <c r="AK55" s="260"/>
      <c r="AL55" s="260"/>
      <c r="AM55" s="260"/>
      <c r="AN55" s="260"/>
    </row>
    <row r="56" spans="2:42" ht="34.5" customHeight="1" thickBot="1" x14ac:dyDescent="0.25">
      <c r="B56" s="1203" t="str">
        <f>B35</f>
        <v>SKUPAJ</v>
      </c>
      <c r="C56" s="1204"/>
      <c r="D56" s="1205"/>
      <c r="E56" s="330">
        <f>SUM(E52:E55)</f>
        <v>191759</v>
      </c>
      <c r="F56" s="331"/>
      <c r="G56" s="372">
        <f>SUM(G52:G55)</f>
        <v>213066</v>
      </c>
      <c r="H56" s="333"/>
      <c r="I56" s="334">
        <f>SUM(I52:I55)</f>
        <v>21306.600000000002</v>
      </c>
      <c r="J56" s="955"/>
      <c r="K56" s="968">
        <f ca="1">SUM(K52:K55)</f>
        <v>0</v>
      </c>
      <c r="L56" s="781">
        <f ca="1">SUM(L52:L55)</f>
        <v>0</v>
      </c>
      <c r="M56" s="786"/>
      <c r="N56" s="783">
        <f ca="1">SUM(N52:N55)</f>
        <v>0</v>
      </c>
      <c r="O56" s="787"/>
      <c r="P56" s="789">
        <f ca="1">SUM(P52:P55)</f>
        <v>0</v>
      </c>
      <c r="Q56" s="387">
        <f ca="1">SUM(Q52:Q55)</f>
        <v>0</v>
      </c>
      <c r="R56" s="259"/>
      <c r="S56" s="259"/>
      <c r="T56" s="259"/>
      <c r="U56" s="259"/>
      <c r="AD56" s="259"/>
      <c r="AE56" s="259"/>
      <c r="AF56" s="259"/>
      <c r="AG56" s="259"/>
      <c r="AH56" s="259"/>
      <c r="AI56" s="259"/>
      <c r="AJ56" s="259"/>
      <c r="AK56" s="260"/>
      <c r="AL56" s="260"/>
      <c r="AM56" s="260"/>
      <c r="AN56" s="260"/>
    </row>
    <row r="57" spans="2:42" ht="18" customHeight="1" thickBot="1" x14ac:dyDescent="0.25">
      <c r="B57" s="256"/>
      <c r="C57" s="247"/>
      <c r="D57" s="247"/>
      <c r="E57" s="561"/>
      <c r="F57" s="247"/>
      <c r="G57" s="247"/>
      <c r="H57" s="247"/>
      <c r="I57" s="245"/>
      <c r="J57" s="246"/>
      <c r="K57" s="246"/>
      <c r="L57" s="246"/>
      <c r="M57" s="246"/>
      <c r="N57" s="246"/>
      <c r="O57" s="247"/>
      <c r="P57" s="247"/>
      <c r="Q57" s="247"/>
      <c r="R57" s="247"/>
      <c r="S57" s="247"/>
      <c r="T57" s="255"/>
      <c r="U57" s="255"/>
      <c r="V57" s="255"/>
      <c r="Y57" s="259"/>
      <c r="Z57" s="259"/>
      <c r="AA57" s="259"/>
      <c r="AB57" s="259"/>
      <c r="AC57" s="259"/>
      <c r="AD57" s="259"/>
      <c r="AE57" s="259"/>
      <c r="AF57" s="259"/>
      <c r="AG57" s="259"/>
      <c r="AH57" s="259"/>
      <c r="AI57" s="259"/>
      <c r="AJ57" s="259"/>
      <c r="AK57" s="260"/>
      <c r="AL57" s="260"/>
      <c r="AM57" s="260"/>
      <c r="AN57" s="260"/>
    </row>
    <row r="58" spans="2:42" ht="18" customHeight="1" thickBot="1" x14ac:dyDescent="0.25">
      <c r="B58" s="1268" t="s">
        <v>198</v>
      </c>
      <c r="C58" s="1277" t="s">
        <v>176</v>
      </c>
      <c r="D58" s="1289" t="s">
        <v>200</v>
      </c>
      <c r="E58" s="748" t="s">
        <v>417</v>
      </c>
      <c r="F58" s="949"/>
      <c r="G58" s="949"/>
      <c r="H58" s="949"/>
      <c r="I58" s="949"/>
      <c r="J58" s="949"/>
      <c r="K58" s="949"/>
      <c r="L58" s="949"/>
      <c r="M58" s="950"/>
      <c r="S58" s="255"/>
      <c r="T58" s="255"/>
      <c r="U58" s="255"/>
      <c r="V58" s="255"/>
      <c r="Y58" s="259"/>
      <c r="Z58" s="259"/>
      <c r="AA58" s="259"/>
      <c r="AB58" s="259"/>
      <c r="AC58" s="259"/>
      <c r="AD58" s="259"/>
      <c r="AE58" s="259"/>
      <c r="AF58" s="259"/>
      <c r="AG58" s="259"/>
      <c r="AH58" s="259"/>
      <c r="AI58" s="259"/>
      <c r="AJ58" s="259"/>
      <c r="AK58" s="260"/>
      <c r="AL58" s="260"/>
      <c r="AM58" s="260"/>
      <c r="AN58" s="260"/>
    </row>
    <row r="59" spans="2:42" ht="38.25" x14ac:dyDescent="0.2">
      <c r="B59" s="1270"/>
      <c r="C59" s="1279"/>
      <c r="D59" s="1290"/>
      <c r="E59" s="338" t="s">
        <v>400</v>
      </c>
      <c r="F59" s="336" t="s">
        <v>401</v>
      </c>
      <c r="G59" s="337" t="s">
        <v>402</v>
      </c>
      <c r="H59" s="336" t="s">
        <v>190</v>
      </c>
      <c r="I59" s="337" t="s">
        <v>191</v>
      </c>
      <c r="J59" s="408" t="s">
        <v>192</v>
      </c>
      <c r="K59" s="373" t="s">
        <v>388</v>
      </c>
      <c r="L59" s="374" t="s">
        <v>389</v>
      </c>
      <c r="M59" s="341" t="s">
        <v>201</v>
      </c>
      <c r="S59" s="255"/>
      <c r="T59" s="255"/>
      <c r="U59" s="255"/>
      <c r="V59" s="255"/>
      <c r="W59" s="255"/>
      <c r="X59" s="255"/>
      <c r="AJ59" s="259"/>
      <c r="AK59" s="259"/>
      <c r="AL59" s="259"/>
      <c r="AM59" s="260"/>
      <c r="AN59" s="260"/>
      <c r="AO59" s="260"/>
      <c r="AP59" s="260"/>
    </row>
    <row r="60" spans="2:42" ht="18.75" thickBot="1" x14ac:dyDescent="0.25">
      <c r="B60" s="362"/>
      <c r="C60" s="1085"/>
      <c r="D60" s="322"/>
      <c r="E60" s="342" t="s">
        <v>64</v>
      </c>
      <c r="F60" s="732" t="s">
        <v>64</v>
      </c>
      <c r="G60" s="318" t="s">
        <v>64</v>
      </c>
      <c r="H60" s="733" t="s">
        <v>64</v>
      </c>
      <c r="I60" s="732" t="s">
        <v>64</v>
      </c>
      <c r="J60" s="318" t="s">
        <v>64</v>
      </c>
      <c r="K60" s="376" t="s">
        <v>158</v>
      </c>
      <c r="L60" s="377" t="s">
        <v>158</v>
      </c>
      <c r="M60" s="345" t="s">
        <v>158</v>
      </c>
      <c r="S60" s="255"/>
      <c r="T60" s="255"/>
      <c r="U60" s="255"/>
      <c r="V60" s="255"/>
      <c r="W60" s="255"/>
      <c r="X60" s="255"/>
      <c r="AJ60" s="259"/>
      <c r="AK60" s="259"/>
      <c r="AL60" s="259"/>
      <c r="AM60" s="260"/>
      <c r="AN60" s="260"/>
      <c r="AO60" s="260"/>
      <c r="AP60" s="260"/>
    </row>
    <row r="61" spans="2:42" ht="50.25" customHeight="1" x14ac:dyDescent="0.2">
      <c r="B61" s="364" t="s">
        <v>184</v>
      </c>
      <c r="C61" s="365" t="str">
        <f>C40</f>
        <v>OGREVANJE</v>
      </c>
      <c r="D61" s="378">
        <f>D52</f>
        <v>1</v>
      </c>
      <c r="E61" s="1003">
        <f ca="1">E52-K52</f>
        <v>102912</v>
      </c>
      <c r="F61" s="1004" t="s">
        <v>135</v>
      </c>
      <c r="G61" s="998">
        <f ca="1">SUM(E61:F61)</f>
        <v>102912</v>
      </c>
      <c r="H61" s="1012">
        <f ca="1">G52-P52</f>
        <v>114347</v>
      </c>
      <c r="I61" s="1004" t="s">
        <v>135</v>
      </c>
      <c r="J61" s="998">
        <f ca="1">SUM(H61:I61)</f>
        <v>114347</v>
      </c>
      <c r="K61" s="379">
        <f ca="1">I52-Q52</f>
        <v>11434.7</v>
      </c>
      <c r="L61" s="754" t="s">
        <v>135</v>
      </c>
      <c r="M61" s="349">
        <f ca="1">SUM(K61:L61)</f>
        <v>11434.7</v>
      </c>
      <c r="S61" s="255"/>
      <c r="T61" s="255"/>
      <c r="U61" s="255"/>
      <c r="V61" s="255"/>
      <c r="W61" s="255"/>
      <c r="X61" s="255"/>
      <c r="AJ61" s="259"/>
      <c r="AK61" s="259"/>
      <c r="AL61" s="259"/>
      <c r="AM61" s="260"/>
      <c r="AN61" s="260"/>
      <c r="AO61" s="260"/>
      <c r="AP61" s="260"/>
    </row>
    <row r="62" spans="2:42" ht="50.25" customHeight="1" x14ac:dyDescent="0.2">
      <c r="B62" s="364" t="s">
        <v>184</v>
      </c>
      <c r="C62" s="365" t="str">
        <f>C41</f>
        <v>SANITARNA TOPLA VODA</v>
      </c>
      <c r="D62" s="378">
        <f>D53</f>
        <v>1</v>
      </c>
      <c r="E62" s="1005">
        <f ca="1">E53-K53</f>
        <v>33467</v>
      </c>
      <c r="F62" s="1006" t="s">
        <v>135</v>
      </c>
      <c r="G62" s="999">
        <f ca="1">SUM(E62:F62)</f>
        <v>33467</v>
      </c>
      <c r="H62" s="1013">
        <f ca="1">G53-P53</f>
        <v>37186</v>
      </c>
      <c r="I62" s="1006" t="s">
        <v>135</v>
      </c>
      <c r="J62" s="999">
        <f ca="1">SUM(H62:I62)</f>
        <v>37186</v>
      </c>
      <c r="K62" s="381">
        <f ca="1">I53-Q53</f>
        <v>3718.6</v>
      </c>
      <c r="L62" s="755" t="s">
        <v>135</v>
      </c>
      <c r="M62" s="355">
        <f ca="1">SUM(K62:L62)</f>
        <v>3718.6</v>
      </c>
      <c r="S62" s="255"/>
      <c r="T62" s="255"/>
      <c r="U62" s="255"/>
      <c r="V62" s="255"/>
      <c r="W62" s="255"/>
      <c r="X62" s="255"/>
      <c r="AJ62" s="259"/>
      <c r="AK62" s="259"/>
      <c r="AL62" s="259"/>
      <c r="AM62" s="260"/>
      <c r="AN62" s="260"/>
      <c r="AO62" s="260"/>
      <c r="AP62" s="260"/>
    </row>
    <row r="63" spans="2:42" ht="50.25" customHeight="1" x14ac:dyDescent="0.2">
      <c r="B63" s="364" t="s">
        <v>187</v>
      </c>
      <c r="C63" s="382" t="str">
        <f>C42</f>
        <v>MEHANSKO PREZRAČEVANJE</v>
      </c>
      <c r="D63" s="378">
        <f>D54</f>
        <v>1</v>
      </c>
      <c r="E63" s="1007" t="s">
        <v>135</v>
      </c>
      <c r="F63" s="1008">
        <f ca="1">E54-K54</f>
        <v>55380</v>
      </c>
      <c r="G63" s="999">
        <f ca="1">SUM(E63:F63)</f>
        <v>55380</v>
      </c>
      <c r="H63" s="1007" t="s">
        <v>135</v>
      </c>
      <c r="I63" s="935">
        <f ca="1">G54-P54</f>
        <v>61533</v>
      </c>
      <c r="J63" s="999">
        <f ca="1">SUM(H63:I63)</f>
        <v>61533</v>
      </c>
      <c r="K63" s="752" t="s">
        <v>135</v>
      </c>
      <c r="L63" s="381">
        <f ca="1">I54-Q54</f>
        <v>6153.3</v>
      </c>
      <c r="M63" s="356">
        <f ca="1">ROUND(SUM(K63:L63),2)</f>
        <v>6153.3</v>
      </c>
      <c r="S63" s="255"/>
      <c r="T63" s="255"/>
      <c r="U63" s="255"/>
      <c r="V63" s="255"/>
      <c r="W63" s="255"/>
      <c r="X63" s="255"/>
      <c r="AJ63" s="259"/>
      <c r="AK63" s="259"/>
      <c r="AL63" s="259"/>
      <c r="AM63" s="260"/>
      <c r="AN63" s="260"/>
      <c r="AO63" s="260"/>
      <c r="AP63" s="260"/>
    </row>
    <row r="64" spans="2:42" ht="50.25" customHeight="1" thickBot="1" x14ac:dyDescent="0.25">
      <c r="B64" s="364"/>
      <c r="C64" s="382"/>
      <c r="D64" s="378"/>
      <c r="E64" s="1009"/>
      <c r="F64" s="1010"/>
      <c r="G64" s="1000"/>
      <c r="H64" s="1009"/>
      <c r="I64" s="936"/>
      <c r="J64" s="1000"/>
      <c r="K64" s="753"/>
      <c r="L64" s="384"/>
      <c r="M64" s="356"/>
      <c r="S64" s="255"/>
      <c r="T64" s="255"/>
      <c r="U64" s="255"/>
      <c r="V64" s="255"/>
      <c r="W64" s="255"/>
      <c r="X64" s="255"/>
      <c r="AJ64" s="259"/>
      <c r="AK64" s="259"/>
      <c r="AL64" s="259"/>
      <c r="AM64" s="260"/>
      <c r="AN64" s="260"/>
      <c r="AO64" s="260"/>
      <c r="AP64" s="260"/>
    </row>
    <row r="65" spans="2:42" ht="35.25" customHeight="1" thickBot="1" x14ac:dyDescent="0.25">
      <c r="B65" s="1315" t="str">
        <f>B44</f>
        <v>SKUPAJ</v>
      </c>
      <c r="C65" s="1347"/>
      <c r="D65" s="1348"/>
      <c r="E65" s="439">
        <f t="shared" ref="E65:M65" ca="1" si="6">SUM(E61:E64)</f>
        <v>136379</v>
      </c>
      <c r="F65" s="1011">
        <f t="shared" ca="1" si="6"/>
        <v>55380</v>
      </c>
      <c r="G65" s="1001">
        <f t="shared" ca="1" si="6"/>
        <v>191759</v>
      </c>
      <c r="H65" s="386">
        <f t="shared" ca="1" si="6"/>
        <v>151533</v>
      </c>
      <c r="I65" s="1011">
        <f t="shared" ca="1" si="6"/>
        <v>61533</v>
      </c>
      <c r="J65" s="1002">
        <f t="shared" ca="1" si="6"/>
        <v>213066</v>
      </c>
      <c r="K65" s="546">
        <f t="shared" ca="1" si="6"/>
        <v>15153.300000000001</v>
      </c>
      <c r="L65" s="358">
        <f t="shared" ca="1" si="6"/>
        <v>6153.3</v>
      </c>
      <c r="M65" s="996">
        <f t="shared" ca="1" si="6"/>
        <v>21306.600000000002</v>
      </c>
      <c r="S65" s="255"/>
      <c r="AJ65" s="259"/>
      <c r="AK65" s="259"/>
      <c r="AL65" s="259"/>
      <c r="AM65" s="260"/>
      <c r="AN65" s="260"/>
      <c r="AO65" s="260"/>
      <c r="AP65" s="260"/>
    </row>
    <row r="66" spans="2:42" ht="15.75" thickBot="1" x14ac:dyDescent="0.25">
      <c r="B66" s="257"/>
      <c r="C66" s="247"/>
      <c r="D66" s="247"/>
      <c r="E66" s="247"/>
      <c r="F66" s="247"/>
      <c r="G66" s="360"/>
      <c r="H66" s="247"/>
      <c r="I66" s="389"/>
      <c r="J66" s="389"/>
      <c r="K66" s="389"/>
      <c r="L66" s="389"/>
      <c r="M66" s="389"/>
      <c r="N66" s="389"/>
      <c r="O66" s="247"/>
      <c r="P66" s="390"/>
      <c r="Q66" s="247"/>
      <c r="R66" s="247"/>
      <c r="S66" s="247"/>
      <c r="T66" s="259"/>
      <c r="U66" s="259"/>
      <c r="V66" s="259"/>
      <c r="W66" s="259"/>
      <c r="X66" s="259"/>
      <c r="Y66" s="259"/>
      <c r="Z66" s="259"/>
      <c r="AA66" s="259"/>
      <c r="AB66" s="259"/>
      <c r="AC66" s="259"/>
      <c r="AD66" s="259"/>
      <c r="AE66" s="259"/>
      <c r="AF66" s="259"/>
      <c r="AG66" s="259"/>
      <c r="AH66" s="259"/>
      <c r="AI66" s="259"/>
      <c r="AJ66" s="259"/>
      <c r="AK66" s="260"/>
      <c r="AL66" s="260"/>
      <c r="AM66" s="260"/>
      <c r="AN66" s="260"/>
    </row>
    <row r="67" spans="2:42" ht="36.75" customHeight="1" thickBot="1" x14ac:dyDescent="0.25">
      <c r="B67" s="361" t="s">
        <v>202</v>
      </c>
      <c r="C67" s="316"/>
      <c r="D67" s="316"/>
      <c r="E67" s="316"/>
      <c r="F67" s="316"/>
      <c r="G67" s="316"/>
      <c r="H67" s="316"/>
      <c r="I67" s="316"/>
      <c r="J67" s="316"/>
      <c r="K67" s="316"/>
      <c r="L67" s="316"/>
      <c r="M67" s="316"/>
      <c r="N67" s="316"/>
      <c r="O67" s="316"/>
      <c r="P67" s="316"/>
      <c r="Q67" s="316"/>
      <c r="R67" s="316"/>
      <c r="S67" s="316"/>
      <c r="T67" s="316"/>
      <c r="U67" s="316"/>
      <c r="V67" s="997"/>
      <c r="X67" s="259"/>
      <c r="Y67" s="259"/>
      <c r="Z67" s="259"/>
      <c r="AA67" s="259"/>
      <c r="AB67" s="259"/>
      <c r="AC67" s="259"/>
      <c r="AD67" s="259"/>
      <c r="AE67" s="259"/>
      <c r="AF67" s="259"/>
      <c r="AG67" s="259"/>
      <c r="AH67" s="259"/>
      <c r="AI67" s="259"/>
      <c r="AJ67" s="391" t="s">
        <v>203</v>
      </c>
      <c r="AK67" s="392"/>
      <c r="AL67" s="392"/>
      <c r="AM67" s="392"/>
      <c r="AN67" s="260"/>
    </row>
    <row r="68" spans="2:42" ht="45" customHeight="1" thickBot="1" x14ac:dyDescent="0.25">
      <c r="B68" s="748" t="s">
        <v>204</v>
      </c>
      <c r="C68" s="757"/>
      <c r="D68" s="757"/>
      <c r="E68" s="757"/>
      <c r="F68" s="757"/>
      <c r="G68" s="757"/>
      <c r="H68" s="757"/>
      <c r="I68" s="757"/>
      <c r="J68" s="757"/>
      <c r="K68" s="809" t="s">
        <v>205</v>
      </c>
      <c r="L68" s="810"/>
      <c r="M68" s="810"/>
      <c r="N68" s="810"/>
      <c r="O68" s="810"/>
      <c r="P68" s="810"/>
      <c r="Q68" s="811"/>
      <c r="R68" s="809" t="s">
        <v>206</v>
      </c>
      <c r="S68" s="809"/>
      <c r="T68" s="746"/>
      <c r="U68" s="746"/>
      <c r="V68" s="918"/>
      <c r="AB68" s="259"/>
      <c r="AC68" s="259"/>
      <c r="AD68" s="259"/>
      <c r="AE68" s="259"/>
      <c r="AF68" s="259"/>
      <c r="AG68" s="259"/>
      <c r="AH68" s="259"/>
      <c r="AI68" s="259"/>
      <c r="AJ68" s="391"/>
      <c r="AK68" s="392"/>
      <c r="AL68" s="392"/>
      <c r="AM68" s="392"/>
      <c r="AN68" s="260"/>
    </row>
    <row r="69" spans="2:42" ht="84" customHeight="1" x14ac:dyDescent="0.2">
      <c r="B69" s="765" t="s">
        <v>63</v>
      </c>
      <c r="C69" s="758" t="s">
        <v>207</v>
      </c>
      <c r="D69" s="1093" t="s">
        <v>37</v>
      </c>
      <c r="E69" s="760" t="s">
        <v>163</v>
      </c>
      <c r="F69" s="761" t="s">
        <v>176</v>
      </c>
      <c r="G69" s="764" t="s">
        <v>175</v>
      </c>
      <c r="H69" s="338" t="s">
        <v>407</v>
      </c>
      <c r="I69" s="339" t="s">
        <v>408</v>
      </c>
      <c r="J69" s="408" t="s">
        <v>398</v>
      </c>
      <c r="K69" s="1077" t="s">
        <v>409</v>
      </c>
      <c r="L69" s="1078" t="s">
        <v>350</v>
      </c>
      <c r="M69" s="1081" t="s">
        <v>349</v>
      </c>
      <c r="N69" s="1079" t="s">
        <v>208</v>
      </c>
      <c r="O69" s="1079" t="s">
        <v>405</v>
      </c>
      <c r="P69" s="901" t="s">
        <v>403</v>
      </c>
      <c r="Q69" s="339" t="s">
        <v>404</v>
      </c>
      <c r="R69" s="761" t="s">
        <v>176</v>
      </c>
      <c r="S69" s="393" t="s">
        <v>207</v>
      </c>
      <c r="T69" s="1095" t="s">
        <v>37</v>
      </c>
      <c r="U69" s="1079" t="s">
        <v>209</v>
      </c>
      <c r="V69" s="408" t="s">
        <v>210</v>
      </c>
      <c r="AJ69" s="391" t="s">
        <v>211</v>
      </c>
      <c r="AK69" s="392" t="s">
        <v>212</v>
      </c>
      <c r="AL69" s="395" t="s">
        <v>213</v>
      </c>
      <c r="AM69" s="392" t="s">
        <v>214</v>
      </c>
      <c r="AN69" s="260"/>
    </row>
    <row r="70" spans="2:42" s="813" customFormat="1" ht="14.25" customHeight="1" thickBot="1" x14ac:dyDescent="0.25">
      <c r="B70" s="814"/>
      <c r="C70" s="762"/>
      <c r="D70" s="1094"/>
      <c r="E70" s="815"/>
      <c r="F70" s="802"/>
      <c r="G70" s="803"/>
      <c r="H70" s="802"/>
      <c r="I70" s="822"/>
      <c r="J70" s="804"/>
      <c r="K70" s="812" t="s">
        <v>215</v>
      </c>
      <c r="L70" s="322"/>
      <c r="M70" s="322"/>
      <c r="N70" s="376"/>
      <c r="O70" s="398" t="s">
        <v>64</v>
      </c>
      <c r="P70" s="721" t="s">
        <v>64</v>
      </c>
      <c r="Q70" s="375" t="s">
        <v>64</v>
      </c>
      <c r="R70" s="802"/>
      <c r="S70" s="396" t="s">
        <v>64</v>
      </c>
      <c r="T70" s="1096" t="s">
        <v>64</v>
      </c>
      <c r="U70" s="375" t="s">
        <v>64</v>
      </c>
      <c r="V70" s="398" t="s">
        <v>158</v>
      </c>
      <c r="AJ70" s="816"/>
      <c r="AK70" s="817"/>
      <c r="AL70" s="817"/>
      <c r="AM70" s="817" t="s">
        <v>64</v>
      </c>
      <c r="AN70" s="818"/>
    </row>
    <row r="71" spans="2:42" s="849" customFormat="1" ht="54.75" customHeight="1" x14ac:dyDescent="0.2">
      <c r="B71" s="846" t="s">
        <v>393</v>
      </c>
      <c r="C71" s="859"/>
      <c r="D71" s="859"/>
      <c r="E71" s="861">
        <f>C71+D71</f>
        <v>0</v>
      </c>
      <c r="F71" s="841" t="s">
        <v>185</v>
      </c>
      <c r="G71" s="819" t="str">
        <f>B52</f>
        <v>Merjeni</v>
      </c>
      <c r="H71" s="805" t="s">
        <v>135</v>
      </c>
      <c r="I71" s="806" t="s">
        <v>135</v>
      </c>
      <c r="J71" s="862"/>
      <c r="K71" s="399">
        <f>N24</f>
        <v>1</v>
      </c>
      <c r="L71" s="747">
        <f>U24</f>
        <v>1</v>
      </c>
      <c r="M71" s="747">
        <v>1</v>
      </c>
      <c r="N71" s="834">
        <f>ROUND(K71*L71*M71,5)</f>
        <v>1</v>
      </c>
      <c r="O71" s="899">
        <f>IFERROR(J71/SUM(J71:J73)*E72*N71,0)</f>
        <v>0</v>
      </c>
      <c r="P71" s="902">
        <v>0</v>
      </c>
      <c r="Q71" s="906">
        <v>0</v>
      </c>
      <c r="R71" s="841" t="s">
        <v>452</v>
      </c>
      <c r="S71" s="847" t="e">
        <f>O71*$C$73/$C$74+P71-H74</f>
        <v>#DIV/0!</v>
      </c>
      <c r="T71" s="848" t="e">
        <f>O71*$D$73/$D$74+Q71-I74</f>
        <v>#DIV/0!</v>
      </c>
      <c r="U71" s="912" t="e">
        <f>SUM(S71:T71)</f>
        <v>#DIV/0!</v>
      </c>
      <c r="V71" s="837" t="e">
        <f ca="1">ROUND(S71*$C$75+T71*$D$75,2)</f>
        <v>#DIV/0!</v>
      </c>
      <c r="AJ71" s="850" t="s">
        <v>216</v>
      </c>
      <c r="AK71" s="392" t="s">
        <v>217</v>
      </c>
      <c r="AL71" s="392" t="s">
        <v>114</v>
      </c>
      <c r="AM71" s="400"/>
      <c r="AN71" s="851"/>
    </row>
    <row r="72" spans="2:42" s="849" customFormat="1" ht="54.75" customHeight="1" x14ac:dyDescent="0.2">
      <c r="B72" s="852" t="s">
        <v>394</v>
      </c>
      <c r="C72" s="860"/>
      <c r="D72" s="860"/>
      <c r="E72" s="1030">
        <f>C72+D72</f>
        <v>0</v>
      </c>
      <c r="F72" s="842" t="s">
        <v>186</v>
      </c>
      <c r="G72" s="820" t="str">
        <f>B53</f>
        <v>Merjeni</v>
      </c>
      <c r="H72" s="823" t="s">
        <v>135</v>
      </c>
      <c r="I72" s="824" t="s">
        <v>135</v>
      </c>
      <c r="J72" s="863"/>
      <c r="K72" s="805" t="s">
        <v>135</v>
      </c>
      <c r="L72" s="625">
        <v>1</v>
      </c>
      <c r="M72" s="401">
        <v>1</v>
      </c>
      <c r="N72" s="835">
        <f>ROUND(L72*M72,5)</f>
        <v>1</v>
      </c>
      <c r="O72" s="900">
        <f>IFERROR(J72/SUM(J71:J73)*E72*N72,0)</f>
        <v>0</v>
      </c>
      <c r="P72" s="903">
        <v>0</v>
      </c>
      <c r="Q72" s="907">
        <v>0</v>
      </c>
      <c r="R72" s="842" t="s">
        <v>186</v>
      </c>
      <c r="S72" s="853" t="e">
        <f>O72*C73/C74</f>
        <v>#DIV/0!</v>
      </c>
      <c r="T72" s="854" t="e">
        <f>O72*D73/D74</f>
        <v>#DIV/0!</v>
      </c>
      <c r="U72" s="913" t="e">
        <f>SUM(S72:T72)</f>
        <v>#DIV/0!</v>
      </c>
      <c r="V72" s="838" t="e">
        <f t="shared" ref="V72:V73" ca="1" si="7">ROUND(S72*$C$75+T72*$D$75,2)</f>
        <v>#DIV/0!</v>
      </c>
      <c r="AJ72" s="850" t="s">
        <v>218</v>
      </c>
      <c r="AK72" s="392" t="s">
        <v>217</v>
      </c>
      <c r="AL72" s="392" t="s">
        <v>114</v>
      </c>
      <c r="AM72" s="400"/>
      <c r="AN72" s="851"/>
    </row>
    <row r="73" spans="2:42" s="849" customFormat="1" ht="54.75" customHeight="1" x14ac:dyDescent="0.2">
      <c r="B73" s="852" t="s">
        <v>396</v>
      </c>
      <c r="C73" s="832">
        <f>IFERROR(C72/E72,0)</f>
        <v>0</v>
      </c>
      <c r="D73" s="832">
        <f>IFERROR(D72/E72,0)</f>
        <v>0</v>
      </c>
      <c r="E73" s="833">
        <f>C73+D73</f>
        <v>0</v>
      </c>
      <c r="F73" s="843" t="s">
        <v>384</v>
      </c>
      <c r="G73" s="820" t="s">
        <v>187</v>
      </c>
      <c r="H73" s="825">
        <f ca="1">L54</f>
        <v>0</v>
      </c>
      <c r="I73" s="826">
        <f ca="1">N54</f>
        <v>0</v>
      </c>
      <c r="J73" s="863"/>
      <c r="K73" s="805" t="s">
        <v>135</v>
      </c>
      <c r="L73" s="801" t="s">
        <v>135</v>
      </c>
      <c r="M73" s="801" t="s">
        <v>135</v>
      </c>
      <c r="N73" s="835">
        <v>1</v>
      </c>
      <c r="O73" s="900">
        <f>IFERROR(J73/SUM(J71:J73)*E72*N73,0)</f>
        <v>0</v>
      </c>
      <c r="P73" s="904" t="s">
        <v>135</v>
      </c>
      <c r="Q73" s="806" t="s">
        <v>135</v>
      </c>
      <c r="R73" s="843" t="s">
        <v>384</v>
      </c>
      <c r="S73" s="855">
        <f ca="1">H73</f>
        <v>0</v>
      </c>
      <c r="T73" s="856">
        <f ca="1">I73</f>
        <v>0</v>
      </c>
      <c r="U73" s="914">
        <f ca="1">SUM(S73:T73)</f>
        <v>0</v>
      </c>
      <c r="V73" s="839">
        <f t="shared" ca="1" si="7"/>
        <v>0</v>
      </c>
      <c r="AJ73" s="850" t="s">
        <v>219</v>
      </c>
      <c r="AK73" s="392" t="s">
        <v>217</v>
      </c>
      <c r="AL73" s="392" t="s">
        <v>114</v>
      </c>
      <c r="AM73" s="400"/>
      <c r="AN73" s="851"/>
    </row>
    <row r="74" spans="2:42" s="849" customFormat="1" ht="54.75" customHeight="1" thickBot="1" x14ac:dyDescent="0.25">
      <c r="B74" s="920" t="s">
        <v>395</v>
      </c>
      <c r="C74" s="919">
        <f>IFERROR(C72/C71,0)</f>
        <v>0</v>
      </c>
      <c r="D74" s="919">
        <f>IFERROR(D72/D71,0)</f>
        <v>0</v>
      </c>
      <c r="E74" s="921">
        <f>IFERROR(E72/E71,0)</f>
        <v>0</v>
      </c>
      <c r="F74" s="844"/>
      <c r="G74" s="821"/>
      <c r="H74" s="827"/>
      <c r="I74" s="828"/>
      <c r="J74" s="916"/>
      <c r="K74" s="807"/>
      <c r="L74" s="808"/>
      <c r="M74" s="808"/>
      <c r="N74" s="836"/>
      <c r="O74" s="917"/>
      <c r="P74" s="905"/>
      <c r="Q74" s="908"/>
      <c r="R74" s="844"/>
      <c r="S74" s="857"/>
      <c r="T74" s="858"/>
      <c r="U74" s="915"/>
      <c r="V74" s="840"/>
      <c r="AJ74" s="850"/>
      <c r="AK74" s="392"/>
      <c r="AL74" s="392"/>
      <c r="AM74" s="400"/>
      <c r="AN74" s="851"/>
    </row>
    <row r="75" spans="2:42" ht="51.75" customHeight="1" thickBot="1" x14ac:dyDescent="0.25">
      <c r="B75" s="922" t="s">
        <v>410</v>
      </c>
      <c r="C75" s="928">
        <f ca="1">ROUND(M52,6)</f>
        <v>0.16700000000000001</v>
      </c>
      <c r="D75" s="928">
        <f ca="1">ROUND(O52,6)</f>
        <v>0.1</v>
      </c>
      <c r="E75" s="923"/>
      <c r="F75" s="829" t="s">
        <v>163</v>
      </c>
      <c r="G75" s="830"/>
      <c r="H75" s="831"/>
      <c r="I75" s="845"/>
      <c r="J75" s="246"/>
      <c r="K75" s="246"/>
      <c r="L75" s="246"/>
      <c r="M75" s="246"/>
      <c r="N75" s="246"/>
      <c r="O75" s="1031">
        <f>SUM(O71:O74)</f>
        <v>0</v>
      </c>
      <c r="P75" s="404"/>
      <c r="Q75" s="404"/>
      <c r="S75" s="909" t="e">
        <f>SUM(S71:S74)</f>
        <v>#DIV/0!</v>
      </c>
      <c r="T75" s="910" t="e">
        <f>SUM(T71:T74)</f>
        <v>#DIV/0!</v>
      </c>
      <c r="U75" s="910" t="e">
        <f>SUM(U71:U74)</f>
        <v>#DIV/0!</v>
      </c>
      <c r="V75" s="911" t="e">
        <f ca="1">SUM(V71:V74)</f>
        <v>#DIV/0!</v>
      </c>
      <c r="W75" s="259"/>
      <c r="X75" s="259"/>
      <c r="Y75" s="259"/>
      <c r="Z75" s="259"/>
      <c r="AA75" s="259"/>
      <c r="AB75" s="259"/>
      <c r="AC75" s="259"/>
      <c r="AD75" s="259"/>
      <c r="AE75" s="259"/>
      <c r="AF75" s="259"/>
      <c r="AG75" s="259"/>
      <c r="AH75" s="259"/>
      <c r="AI75" s="259"/>
      <c r="AJ75" s="391" t="s">
        <v>220</v>
      </c>
      <c r="AK75" s="392" t="s">
        <v>221</v>
      </c>
      <c r="AL75" s="405" t="s">
        <v>222</v>
      </c>
      <c r="AM75" s="400"/>
      <c r="AN75" s="260"/>
    </row>
    <row r="76" spans="2:42" ht="15.75" thickBot="1" x14ac:dyDescent="0.25">
      <c r="B76" s="256"/>
      <c r="C76" s="247"/>
      <c r="D76" s="388"/>
      <c r="E76" s="247"/>
      <c r="F76" s="247"/>
      <c r="G76" s="247"/>
      <c r="H76" s="388"/>
      <c r="I76" s="245"/>
      <c r="J76" s="402"/>
      <c r="K76" s="246"/>
      <c r="L76" s="246"/>
      <c r="M76" s="246"/>
      <c r="N76" s="246"/>
      <c r="O76" s="403"/>
      <c r="P76" s="404"/>
      <c r="Q76" s="404"/>
      <c r="R76" s="404"/>
      <c r="T76" s="259"/>
      <c r="U76" s="259"/>
      <c r="V76" s="259"/>
      <c r="W76" s="259"/>
      <c r="X76" s="259"/>
      <c r="Y76" s="259"/>
      <c r="Z76" s="259"/>
      <c r="AA76" s="259"/>
      <c r="AB76" s="259"/>
      <c r="AC76" s="259"/>
      <c r="AD76" s="259"/>
      <c r="AE76" s="259"/>
      <c r="AF76" s="259"/>
      <c r="AG76" s="259"/>
      <c r="AH76" s="259"/>
      <c r="AI76" s="259"/>
      <c r="AJ76" s="391"/>
      <c r="AK76" s="392"/>
      <c r="AL76" s="405"/>
      <c r="AM76" s="400"/>
      <c r="AN76" s="260"/>
    </row>
    <row r="77" spans="2:42" ht="40.5" customHeight="1" thickBot="1" x14ac:dyDescent="0.25">
      <c r="B77" s="1268" t="s">
        <v>198</v>
      </c>
      <c r="C77" s="1271" t="s">
        <v>176</v>
      </c>
      <c r="D77" s="1311" t="s">
        <v>223</v>
      </c>
      <c r="E77" s="1312"/>
      <c r="F77" s="1313"/>
      <c r="G77" s="1326" t="s">
        <v>224</v>
      </c>
      <c r="H77" s="1327"/>
      <c r="I77" s="1327"/>
      <c r="J77" s="1327"/>
      <c r="K77" s="1327"/>
      <c r="L77" s="1327"/>
      <c r="M77" s="1328"/>
      <c r="N77" s="406"/>
      <c r="O77" s="406"/>
      <c r="P77" s="406"/>
      <c r="Q77" s="255"/>
      <c r="R77" s="255"/>
      <c r="S77" s="255"/>
      <c r="T77" s="259"/>
      <c r="U77" s="259"/>
      <c r="V77" s="259"/>
      <c r="W77" s="259"/>
      <c r="X77" s="259"/>
      <c r="Y77" s="259"/>
      <c r="Z77" s="259"/>
      <c r="AA77" s="259"/>
      <c r="AB77" s="259"/>
      <c r="AC77" s="259"/>
      <c r="AD77" s="259"/>
      <c r="AE77" s="259"/>
      <c r="AF77" s="259"/>
      <c r="AG77" s="259"/>
      <c r="AH77" s="259"/>
      <c r="AI77" s="259"/>
      <c r="AJ77" s="391" t="s">
        <v>225</v>
      </c>
      <c r="AK77" s="392" t="s">
        <v>221</v>
      </c>
      <c r="AL77" s="392" t="s">
        <v>114</v>
      </c>
      <c r="AM77" s="400"/>
      <c r="AN77" s="260"/>
    </row>
    <row r="78" spans="2:42" ht="56.25" x14ac:dyDescent="0.2">
      <c r="B78" s="1269"/>
      <c r="C78" s="1273"/>
      <c r="D78" s="601" t="s">
        <v>226</v>
      </c>
      <c r="E78" s="602" t="s">
        <v>227</v>
      </c>
      <c r="F78" s="335" t="s">
        <v>414</v>
      </c>
      <c r="G78" s="338" t="s">
        <v>190</v>
      </c>
      <c r="H78" s="336" t="s">
        <v>191</v>
      </c>
      <c r="I78" s="337" t="s">
        <v>192</v>
      </c>
      <c r="J78" s="337" t="s">
        <v>412</v>
      </c>
      <c r="K78" s="337" t="s">
        <v>413</v>
      </c>
      <c r="L78" s="338" t="s">
        <v>193</v>
      </c>
      <c r="M78" s="336" t="s">
        <v>194</v>
      </c>
      <c r="N78" s="407" t="s">
        <v>228</v>
      </c>
      <c r="O78" s="407" t="s">
        <v>411</v>
      </c>
      <c r="P78" s="571" t="s">
        <v>229</v>
      </c>
      <c r="Q78" s="255"/>
      <c r="R78" s="255"/>
      <c r="S78" s="255"/>
      <c r="T78" s="255"/>
      <c r="U78" s="255"/>
      <c r="V78" s="255"/>
      <c r="W78" s="255"/>
      <c r="Z78" s="259"/>
      <c r="AA78" s="259"/>
      <c r="AB78" s="259"/>
      <c r="AC78" s="259"/>
      <c r="AD78" s="259"/>
      <c r="AE78" s="259"/>
      <c r="AF78" s="259"/>
      <c r="AG78" s="259"/>
      <c r="AH78" s="259"/>
      <c r="AI78" s="259"/>
      <c r="AJ78" s="259"/>
      <c r="AK78" s="259"/>
      <c r="AL78" s="260"/>
      <c r="AM78" s="260"/>
      <c r="AN78" s="260"/>
      <c r="AO78" s="260"/>
    </row>
    <row r="79" spans="2:42" ht="18.75" thickBot="1" x14ac:dyDescent="0.25">
      <c r="B79" s="1309"/>
      <c r="C79" s="1310"/>
      <c r="D79" s="721" t="s">
        <v>64</v>
      </c>
      <c r="E79" s="1084" t="s">
        <v>158</v>
      </c>
      <c r="F79" s="721" t="s">
        <v>183</v>
      </c>
      <c r="G79" s="323" t="s">
        <v>64</v>
      </c>
      <c r="H79" s="324" t="s">
        <v>64</v>
      </c>
      <c r="I79" s="562" t="s">
        <v>64</v>
      </c>
      <c r="J79" s="562" t="s">
        <v>64</v>
      </c>
      <c r="K79" s="562" t="s">
        <v>64</v>
      </c>
      <c r="L79" s="323" t="s">
        <v>158</v>
      </c>
      <c r="M79" s="324" t="s">
        <v>158</v>
      </c>
      <c r="N79" s="344" t="s">
        <v>158</v>
      </c>
      <c r="O79" s="344" t="s">
        <v>158</v>
      </c>
      <c r="P79" s="722" t="s">
        <v>158</v>
      </c>
      <c r="Q79" s="255"/>
      <c r="R79" s="255"/>
      <c r="S79" s="255"/>
      <c r="T79" s="255"/>
      <c r="U79" s="255"/>
      <c r="V79" s="255"/>
      <c r="W79" s="255"/>
      <c r="Z79" s="259"/>
      <c r="AA79" s="259"/>
      <c r="AB79" s="259"/>
      <c r="AC79" s="259"/>
      <c r="AD79" s="259"/>
      <c r="AE79" s="259"/>
      <c r="AF79" s="259"/>
      <c r="AG79" s="259"/>
      <c r="AH79" s="259"/>
      <c r="AI79" s="259"/>
      <c r="AJ79" s="259"/>
      <c r="AK79" s="259"/>
      <c r="AL79" s="260"/>
      <c r="AM79" s="260"/>
      <c r="AN79" s="260"/>
      <c r="AO79" s="260"/>
    </row>
    <row r="80" spans="2:42" ht="49.5" customHeight="1" x14ac:dyDescent="0.2">
      <c r="B80" s="893" t="str">
        <f t="shared" ref="B80:C82" si="8">B61</f>
        <v>Merjeni</v>
      </c>
      <c r="C80" s="896" t="str">
        <f t="shared" si="8"/>
        <v>OGREVANJE</v>
      </c>
      <c r="D80" s="940" t="e">
        <f>ROUND(U71,0)</f>
        <v>#DIV/0!</v>
      </c>
      <c r="E80" s="944" t="e">
        <f ca="1">V71</f>
        <v>#DIV/0!</v>
      </c>
      <c r="F80" s="599">
        <f ca="1">ROUND(IFERROR(E80/D80,0),15)</f>
        <v>0</v>
      </c>
      <c r="G80" s="882" t="e">
        <f>ROUND(G52-D80,0)</f>
        <v>#DIV/0!</v>
      </c>
      <c r="H80" s="883"/>
      <c r="I80" s="884" t="e">
        <f>SUM(G80:H80)</f>
        <v>#DIV/0!</v>
      </c>
      <c r="J80" s="884">
        <f ca="1">ROUND(J61,0)</f>
        <v>114347</v>
      </c>
      <c r="K80" s="924" t="e">
        <f ca="1">ROUND(I80-J80,0)</f>
        <v>#DIV/0!</v>
      </c>
      <c r="L80" s="870" t="e">
        <f ca="1">ROUND(I52-E80,2)</f>
        <v>#DIV/0!</v>
      </c>
      <c r="M80" s="871"/>
      <c r="N80" s="600" t="e">
        <f ca="1">SUM(L80:M80)</f>
        <v>#DIV/0!</v>
      </c>
      <c r="O80" s="600">
        <f ca="1">M61</f>
        <v>11434.7</v>
      </c>
      <c r="P80" s="872" t="e">
        <f ca="1">ROUND(N80-O80,2)</f>
        <v>#DIV/0!</v>
      </c>
      <c r="Q80" s="255"/>
      <c r="R80" s="255"/>
      <c r="S80" s="255"/>
      <c r="T80" s="255"/>
      <c r="U80" s="255"/>
      <c r="V80" s="255"/>
      <c r="W80" s="255"/>
      <c r="Z80" s="259"/>
      <c r="AA80" s="259"/>
      <c r="AB80" s="259"/>
      <c r="AC80" s="259"/>
      <c r="AD80" s="259"/>
      <c r="AE80" s="259"/>
      <c r="AF80" s="259"/>
      <c r="AG80" s="259"/>
      <c r="AH80" s="259"/>
      <c r="AI80" s="259"/>
      <c r="AJ80" s="259"/>
      <c r="AK80" s="259"/>
      <c r="AL80" s="260"/>
      <c r="AM80" s="260"/>
      <c r="AN80" s="260"/>
      <c r="AO80" s="260"/>
    </row>
    <row r="81" spans="2:41" ht="49.5" customHeight="1" x14ac:dyDescent="0.2">
      <c r="B81" s="894" t="str">
        <f t="shared" si="8"/>
        <v>Merjeni</v>
      </c>
      <c r="C81" s="897" t="str">
        <f t="shared" si="8"/>
        <v>SANITARNA TOPLA VODA</v>
      </c>
      <c r="D81" s="941" t="e">
        <f t="shared" ref="D81:D82" si="9">ROUND(U72,0)</f>
        <v>#DIV/0!</v>
      </c>
      <c r="E81" s="944" t="e">
        <f ca="1">V72</f>
        <v>#DIV/0!</v>
      </c>
      <c r="F81" s="409">
        <f t="shared" ref="F81:F82" ca="1" si="10">ROUND(IFERROR(E81/D81,0),15)</f>
        <v>0</v>
      </c>
      <c r="G81" s="864" t="e">
        <f>ROUND(G53-D81,0)</f>
        <v>#DIV/0!</v>
      </c>
      <c r="H81" s="865"/>
      <c r="I81" s="873" t="e">
        <f>SUM(G81:H81)</f>
        <v>#DIV/0!</v>
      </c>
      <c r="J81" s="873">
        <f ca="1">ROUND(J62,0)</f>
        <v>37186</v>
      </c>
      <c r="K81" s="925" t="e">
        <f t="shared" ref="K81:K82" ca="1" si="11">ROUND(I81-J81,0)</f>
        <v>#DIV/0!</v>
      </c>
      <c r="L81" s="874" t="e">
        <f ca="1">I53-E81</f>
        <v>#DIV/0!</v>
      </c>
      <c r="M81" s="875"/>
      <c r="N81" s="410" t="e">
        <f ca="1">SUM(L81:M81)</f>
        <v>#DIV/0!</v>
      </c>
      <c r="O81" s="410">
        <f ca="1">M62</f>
        <v>3718.6</v>
      </c>
      <c r="P81" s="876" t="e">
        <f ca="1">ROUND(N81-O81,2)</f>
        <v>#DIV/0!</v>
      </c>
      <c r="Q81" s="255"/>
      <c r="R81" s="255"/>
      <c r="S81" s="255"/>
      <c r="T81" s="255"/>
      <c r="U81" s="255"/>
      <c r="V81" s="255"/>
      <c r="W81" s="255"/>
      <c r="Z81" s="259"/>
      <c r="AA81" s="259"/>
      <c r="AB81" s="259"/>
      <c r="AC81" s="259"/>
      <c r="AD81" s="259"/>
      <c r="AE81" s="259"/>
      <c r="AF81" s="259"/>
      <c r="AG81" s="259"/>
      <c r="AH81" s="259"/>
      <c r="AI81" s="259"/>
      <c r="AJ81" s="259"/>
      <c r="AK81" s="259"/>
      <c r="AL81" s="260"/>
      <c r="AM81" s="260"/>
      <c r="AN81" s="260"/>
      <c r="AO81" s="260"/>
    </row>
    <row r="82" spans="2:41" ht="49.5" customHeight="1" x14ac:dyDescent="0.2">
      <c r="B82" s="894" t="str">
        <f t="shared" si="8"/>
        <v>Normirani</v>
      </c>
      <c r="C82" s="897" t="str">
        <f t="shared" si="8"/>
        <v>MEHANSKO PREZRAČEVANJE</v>
      </c>
      <c r="D82" s="942">
        <f t="shared" ca="1" si="9"/>
        <v>0</v>
      </c>
      <c r="E82" s="945">
        <f ca="1">V73</f>
        <v>0</v>
      </c>
      <c r="F82" s="409">
        <f t="shared" ca="1" si="10"/>
        <v>0</v>
      </c>
      <c r="G82" s="866"/>
      <c r="H82" s="867">
        <f ca="1">ROUND(I63,0)</f>
        <v>61533</v>
      </c>
      <c r="I82" s="873">
        <f ca="1">SUM(G82:H82)</f>
        <v>61533</v>
      </c>
      <c r="J82" s="873">
        <f ca="1">ROUND(J63,0)</f>
        <v>61533</v>
      </c>
      <c r="K82" s="925">
        <f t="shared" ca="1" si="11"/>
        <v>0</v>
      </c>
      <c r="L82" s="877"/>
      <c r="M82" s="878">
        <f ca="1">L63</f>
        <v>6153.3</v>
      </c>
      <c r="N82" s="410">
        <f ca="1">SUM(L82:M82)</f>
        <v>6153.3</v>
      </c>
      <c r="O82" s="410">
        <f ca="1">M63</f>
        <v>6153.3</v>
      </c>
      <c r="P82" s="876">
        <f ca="1">ROUND(N82-O82,2)</f>
        <v>0</v>
      </c>
      <c r="Q82" s="255"/>
      <c r="R82" s="255"/>
      <c r="S82" s="255"/>
      <c r="T82" s="255"/>
      <c r="U82" s="255"/>
      <c r="V82" s="255"/>
      <c r="W82" s="255"/>
      <c r="Z82" s="259"/>
      <c r="AA82" s="259"/>
      <c r="AB82" s="259"/>
      <c r="AC82" s="259"/>
      <c r="AD82" s="259"/>
      <c r="AE82" s="259"/>
      <c r="AF82" s="259"/>
      <c r="AG82" s="259"/>
      <c r="AH82" s="259"/>
      <c r="AI82" s="259"/>
      <c r="AJ82" s="259"/>
      <c r="AK82" s="259"/>
      <c r="AL82" s="260"/>
      <c r="AM82" s="260"/>
      <c r="AN82" s="260"/>
      <c r="AO82" s="260"/>
    </row>
    <row r="83" spans="2:41" ht="49.5" customHeight="1" thickBot="1" x14ac:dyDescent="0.25">
      <c r="B83" s="895"/>
      <c r="C83" s="898"/>
      <c r="D83" s="942"/>
      <c r="E83" s="946"/>
      <c r="F83" s="885"/>
      <c r="G83" s="886"/>
      <c r="H83" s="1075"/>
      <c r="I83" s="887"/>
      <c r="J83" s="887"/>
      <c r="K83" s="926"/>
      <c r="L83" s="888"/>
      <c r="M83" s="889"/>
      <c r="N83" s="890"/>
      <c r="O83" s="890"/>
      <c r="P83" s="891"/>
      <c r="Q83" s="255"/>
      <c r="R83" s="255"/>
      <c r="S83" s="255"/>
      <c r="T83" s="255"/>
      <c r="U83" s="255"/>
      <c r="V83" s="255"/>
      <c r="W83" s="255"/>
      <c r="Z83" s="259"/>
      <c r="AA83" s="259"/>
      <c r="AB83" s="259"/>
      <c r="AC83" s="259"/>
      <c r="AD83" s="259"/>
      <c r="AE83" s="259"/>
      <c r="AF83" s="259"/>
      <c r="AG83" s="259"/>
      <c r="AH83" s="259"/>
      <c r="AI83" s="259"/>
      <c r="AJ83" s="259"/>
      <c r="AK83" s="259"/>
      <c r="AL83" s="260"/>
      <c r="AM83" s="260"/>
      <c r="AN83" s="260"/>
      <c r="AO83" s="260"/>
    </row>
    <row r="84" spans="2:41" ht="39" customHeight="1" thickBot="1" x14ac:dyDescent="0.25">
      <c r="B84" s="892"/>
      <c r="C84" s="1076" t="s">
        <v>163</v>
      </c>
      <c r="D84" s="943" t="e">
        <f>SUM(D80:D83)</f>
        <v>#DIV/0!</v>
      </c>
      <c r="E84" s="947" t="e">
        <f ca="1">SUM(E80:E83)</f>
        <v>#DIV/0!</v>
      </c>
      <c r="F84" s="411">
        <f ca="1">ROUND(IFERROR(E84/D84,0),5)</f>
        <v>0</v>
      </c>
      <c r="G84" s="868" t="e">
        <f>SUM(G80:G83)</f>
        <v>#DIV/0!</v>
      </c>
      <c r="H84" s="869">
        <f ca="1">SUM(H80:H83)</f>
        <v>61533</v>
      </c>
      <c r="I84" s="879" t="e">
        <f>SUM(G84:H84)</f>
        <v>#DIV/0!</v>
      </c>
      <c r="J84" s="879">
        <f t="shared" ref="J84:P84" ca="1" si="12">SUM(J80:J83)</f>
        <v>213066</v>
      </c>
      <c r="K84" s="927" t="e">
        <f t="shared" ca="1" si="12"/>
        <v>#DIV/0!</v>
      </c>
      <c r="L84" s="385" t="e">
        <f t="shared" ca="1" si="12"/>
        <v>#DIV/0!</v>
      </c>
      <c r="M84" s="880">
        <f t="shared" ca="1" si="12"/>
        <v>6153.3</v>
      </c>
      <c r="N84" s="412" t="e">
        <f t="shared" ca="1" si="12"/>
        <v>#DIV/0!</v>
      </c>
      <c r="O84" s="412">
        <f t="shared" ca="1" si="12"/>
        <v>21306.600000000002</v>
      </c>
      <c r="P84" s="881" t="e">
        <f t="shared" ca="1" si="12"/>
        <v>#DIV/0!</v>
      </c>
      <c r="Q84" s="255"/>
      <c r="R84" s="255"/>
      <c r="S84" s="255"/>
      <c r="T84" s="255"/>
      <c r="U84" s="255"/>
      <c r="V84" s="255"/>
      <c r="W84" s="255"/>
      <c r="Z84" s="259"/>
      <c r="AA84" s="259"/>
      <c r="AB84" s="259"/>
      <c r="AC84" s="259"/>
      <c r="AD84" s="259"/>
      <c r="AE84" s="259"/>
      <c r="AF84" s="259"/>
      <c r="AG84" s="259"/>
      <c r="AH84" s="259"/>
      <c r="AI84" s="259"/>
      <c r="AJ84" s="259"/>
      <c r="AK84" s="259"/>
      <c r="AL84" s="260"/>
      <c r="AM84" s="260"/>
      <c r="AN84" s="260"/>
      <c r="AO84" s="260"/>
    </row>
    <row r="85" spans="2:41" ht="18" x14ac:dyDescent="0.2">
      <c r="B85" s="256"/>
      <c r="C85" s="247"/>
      <c r="D85" s="247"/>
      <c r="E85" s="413"/>
      <c r="F85" s="247"/>
      <c r="G85" s="247"/>
      <c r="H85" s="247"/>
      <c r="I85" s="245"/>
      <c r="J85" s="246"/>
      <c r="K85" s="414"/>
      <c r="L85" s="246"/>
      <c r="M85" s="414"/>
      <c r="N85" s="246"/>
      <c r="O85" s="247"/>
      <c r="P85" s="247"/>
      <c r="Q85" s="255"/>
      <c r="R85" s="255"/>
      <c r="S85" s="255"/>
      <c r="T85" s="255"/>
      <c r="U85" s="255"/>
      <c r="V85" s="255"/>
      <c r="Y85" s="259"/>
      <c r="Z85" s="259"/>
      <c r="AA85" s="259"/>
      <c r="AB85" s="259"/>
      <c r="AC85" s="259"/>
      <c r="AD85" s="259"/>
      <c r="AE85" s="259"/>
      <c r="AF85" s="259"/>
      <c r="AG85" s="259"/>
      <c r="AH85" s="259"/>
      <c r="AI85" s="259"/>
      <c r="AJ85" s="259"/>
      <c r="AK85" s="260"/>
      <c r="AL85" s="260"/>
      <c r="AM85" s="260"/>
      <c r="AN85" s="260"/>
    </row>
    <row r="86" spans="2:41" ht="18.75" thickBot="1" x14ac:dyDescent="0.25">
      <c r="B86" s="256"/>
      <c r="C86" s="247"/>
      <c r="D86" s="247"/>
      <c r="E86" s="247"/>
      <c r="F86" s="247"/>
      <c r="G86" s="247"/>
      <c r="H86" s="247"/>
      <c r="I86" s="245"/>
      <c r="J86" s="246"/>
      <c r="K86" s="246"/>
      <c r="L86" s="246"/>
      <c r="M86" s="246"/>
      <c r="N86" s="246"/>
      <c r="O86" s="247"/>
      <c r="P86" s="247"/>
      <c r="Q86" s="247"/>
      <c r="R86" s="247"/>
      <c r="S86" s="247"/>
      <c r="T86" s="255"/>
      <c r="U86" s="255"/>
      <c r="V86" s="255"/>
      <c r="Y86" s="259"/>
      <c r="Z86" s="259"/>
      <c r="AA86" s="259"/>
      <c r="AB86" s="259"/>
      <c r="AC86" s="259"/>
      <c r="AD86" s="259"/>
      <c r="AE86" s="259"/>
      <c r="AF86" s="259"/>
      <c r="AG86" s="259"/>
      <c r="AH86" s="259"/>
      <c r="AI86" s="259"/>
      <c r="AJ86" s="259"/>
      <c r="AK86" s="260"/>
      <c r="AL86" s="260"/>
      <c r="AM86" s="260"/>
      <c r="AN86" s="260"/>
    </row>
    <row r="87" spans="2:41" ht="30.75" thickBot="1" x14ac:dyDescent="0.25">
      <c r="B87" s="302" t="s">
        <v>230</v>
      </c>
      <c r="C87" s="303"/>
      <c r="D87" s="303"/>
      <c r="E87" s="303"/>
      <c r="F87" s="303"/>
      <c r="G87" s="303"/>
      <c r="H87" s="303"/>
      <c r="I87" s="303"/>
      <c r="J87" s="303"/>
      <c r="K87" s="303"/>
      <c r="L87" s="303"/>
      <c r="M87" s="303"/>
      <c r="N87" s="303"/>
      <c r="O87" s="303"/>
      <c r="P87" s="303"/>
      <c r="Q87" s="303"/>
      <c r="R87" s="303"/>
      <c r="S87" s="303"/>
      <c r="T87" s="303"/>
      <c r="U87" s="303"/>
      <c r="V87" s="304"/>
      <c r="Y87" s="259"/>
      <c r="Z87" s="259"/>
      <c r="AA87" s="259"/>
      <c r="AB87" s="259"/>
      <c r="AC87" s="259"/>
      <c r="AD87" s="259"/>
      <c r="AE87" s="259"/>
      <c r="AF87" s="259"/>
      <c r="AG87" s="259"/>
      <c r="AH87" s="259"/>
      <c r="AI87" s="259"/>
      <c r="AJ87" s="259"/>
      <c r="AK87" s="260"/>
      <c r="AL87" s="260"/>
      <c r="AM87" s="260"/>
      <c r="AN87" s="260"/>
    </row>
    <row r="88" spans="2:41" ht="18.75" thickBot="1" x14ac:dyDescent="0.25">
      <c r="B88" s="256"/>
      <c r="C88" s="247"/>
      <c r="D88" s="247"/>
      <c r="E88" s="247"/>
      <c r="F88" s="247"/>
      <c r="G88" s="247"/>
      <c r="H88" s="247"/>
      <c r="I88" s="245"/>
      <c r="J88" s="246"/>
      <c r="K88" s="246"/>
      <c r="L88" s="246"/>
      <c r="M88" s="246"/>
      <c r="N88" s="246"/>
      <c r="O88" s="247"/>
      <c r="P88" s="247"/>
      <c r="Q88" s="247"/>
      <c r="R88" s="247"/>
      <c r="S88" s="247"/>
      <c r="T88" s="255"/>
      <c r="U88" s="255"/>
      <c r="V88" s="255"/>
      <c r="Y88" s="259"/>
      <c r="Z88" s="259"/>
      <c r="AA88" s="259"/>
      <c r="AB88" s="259"/>
      <c r="AC88" s="259"/>
      <c r="AD88" s="259"/>
      <c r="AE88" s="259"/>
      <c r="AF88" s="259"/>
      <c r="AG88" s="259"/>
      <c r="AH88" s="259"/>
      <c r="AI88" s="259"/>
      <c r="AJ88" s="259"/>
      <c r="AK88" s="260"/>
      <c r="AL88" s="260"/>
      <c r="AM88" s="260"/>
      <c r="AN88" s="260"/>
    </row>
    <row r="89" spans="2:41" ht="35.25" customHeight="1" thickBot="1" x14ac:dyDescent="0.25">
      <c r="B89" s="361" t="s">
        <v>174</v>
      </c>
      <c r="C89" s="316"/>
      <c r="D89" s="316"/>
      <c r="E89" s="316"/>
      <c r="F89" s="316"/>
      <c r="G89" s="316"/>
      <c r="H89" s="316"/>
      <c r="I89" s="316"/>
      <c r="J89" s="316"/>
      <c r="K89" s="316"/>
      <c r="L89" s="316"/>
      <c r="M89" s="316"/>
      <c r="N89" s="316"/>
      <c r="O89" s="317"/>
      <c r="P89" s="246"/>
      <c r="Q89" s="246"/>
      <c r="R89" s="246"/>
      <c r="S89" s="246"/>
      <c r="T89" s="246"/>
      <c r="U89" s="246"/>
      <c r="V89" s="246"/>
      <c r="Y89" s="259"/>
      <c r="Z89" s="259"/>
      <c r="AA89" s="259"/>
      <c r="AB89" s="259"/>
      <c r="AC89" s="259"/>
      <c r="AD89" s="259"/>
      <c r="AE89" s="259"/>
      <c r="AF89" s="259"/>
      <c r="AG89" s="259"/>
      <c r="AH89" s="259"/>
      <c r="AI89" s="259"/>
      <c r="AJ89" s="259"/>
      <c r="AK89" s="260"/>
      <c r="AL89" s="260"/>
      <c r="AM89" s="260"/>
      <c r="AN89" s="260"/>
    </row>
    <row r="90" spans="2:41" ht="25.5" customHeight="1" thickBot="1" x14ac:dyDescent="0.25">
      <c r="B90" s="1268" t="s">
        <v>175</v>
      </c>
      <c r="C90" s="1271" t="s">
        <v>231</v>
      </c>
      <c r="D90" s="1289" t="s">
        <v>338</v>
      </c>
      <c r="E90" s="1268" t="s">
        <v>336</v>
      </c>
      <c r="F90" s="1277" t="s">
        <v>337</v>
      </c>
      <c r="G90" s="1302" t="s">
        <v>234</v>
      </c>
      <c r="H90" s="1311" t="s">
        <v>235</v>
      </c>
      <c r="I90" s="1312"/>
      <c r="J90" s="1313"/>
      <c r="K90" s="1311" t="s">
        <v>188</v>
      </c>
      <c r="L90" s="1312"/>
      <c r="M90" s="1312"/>
      <c r="N90" s="1312"/>
      <c r="O90" s="1313"/>
      <c r="P90" s="246"/>
      <c r="Q90" s="246"/>
      <c r="R90" s="246"/>
      <c r="S90" s="246"/>
      <c r="T90" s="246"/>
      <c r="U90" s="246"/>
      <c r="V90" s="246"/>
      <c r="Y90" s="259"/>
      <c r="Z90" s="259"/>
      <c r="AA90" s="259"/>
      <c r="AB90" s="259"/>
      <c r="AC90" s="259"/>
      <c r="AD90" s="259"/>
      <c r="AE90" s="259"/>
      <c r="AF90" s="259"/>
      <c r="AG90" s="259"/>
      <c r="AH90" s="259"/>
      <c r="AI90" s="259"/>
      <c r="AJ90" s="259"/>
      <c r="AK90" s="260"/>
      <c r="AL90" s="260"/>
      <c r="AM90" s="260"/>
      <c r="AN90" s="260"/>
    </row>
    <row r="91" spans="2:41" ht="25.5" x14ac:dyDescent="0.2">
      <c r="B91" s="1270"/>
      <c r="C91" s="1275"/>
      <c r="D91" s="1290"/>
      <c r="E91" s="1270"/>
      <c r="F91" s="1279"/>
      <c r="G91" s="1304"/>
      <c r="H91" s="374" t="s">
        <v>339</v>
      </c>
      <c r="I91" s="337" t="s">
        <v>237</v>
      </c>
      <c r="J91" s="339" t="s">
        <v>238</v>
      </c>
      <c r="K91" s="335" t="s">
        <v>340</v>
      </c>
      <c r="L91" s="336" t="s">
        <v>341</v>
      </c>
      <c r="M91" s="335" t="s">
        <v>342</v>
      </c>
      <c r="N91" s="336" t="s">
        <v>343</v>
      </c>
      <c r="O91" s="341" t="s">
        <v>195</v>
      </c>
      <c r="P91" s="415"/>
      <c r="Q91" s="415"/>
      <c r="R91" s="415"/>
      <c r="S91" s="415"/>
      <c r="T91" s="415"/>
      <c r="U91" s="415"/>
      <c r="V91" s="415"/>
      <c r="Y91" s="259"/>
      <c r="Z91" s="259"/>
      <c r="AA91" s="259"/>
      <c r="AB91" s="259"/>
      <c r="AC91" s="259"/>
      <c r="AD91" s="259"/>
      <c r="AE91" s="259"/>
      <c r="AF91" s="259"/>
      <c r="AG91" s="259"/>
      <c r="AH91" s="259"/>
      <c r="AI91" s="259"/>
      <c r="AJ91" s="259"/>
      <c r="AK91" s="260"/>
      <c r="AL91" s="260"/>
      <c r="AM91" s="260"/>
      <c r="AN91" s="260"/>
    </row>
    <row r="92" spans="2:41" ht="21.75" customHeight="1" thickBot="1" x14ac:dyDescent="0.25">
      <c r="B92" s="362"/>
      <c r="C92" s="416"/>
      <c r="D92" s="417"/>
      <c r="E92" s="342" t="s">
        <v>64</v>
      </c>
      <c r="F92" s="343" t="s">
        <v>182</v>
      </c>
      <c r="G92" s="418" t="s">
        <v>158</v>
      </c>
      <c r="H92" s="419" t="s">
        <v>64</v>
      </c>
      <c r="I92" s="1084" t="s">
        <v>183</v>
      </c>
      <c r="J92" s="375" t="s">
        <v>158</v>
      </c>
      <c r="K92" s="721" t="s">
        <v>64</v>
      </c>
      <c r="L92" s="1080" t="s">
        <v>64</v>
      </c>
      <c r="M92" s="1086" t="s">
        <v>158</v>
      </c>
      <c r="N92" s="324" t="s">
        <v>158</v>
      </c>
      <c r="O92" s="345" t="s">
        <v>158</v>
      </c>
      <c r="P92" s="415"/>
      <c r="Q92" s="415"/>
      <c r="R92" s="415"/>
      <c r="S92" s="415"/>
      <c r="T92" s="415"/>
      <c r="U92" s="415"/>
      <c r="V92" s="415"/>
      <c r="Y92" s="259"/>
      <c r="Z92" s="259"/>
      <c r="AA92" s="259"/>
      <c r="AB92" s="259"/>
      <c r="AC92" s="259"/>
      <c r="AD92" s="259"/>
      <c r="AE92" s="259"/>
      <c r="AF92" s="259"/>
      <c r="AG92" s="259"/>
      <c r="AH92" s="259"/>
      <c r="AI92" s="259"/>
      <c r="AJ92" s="259"/>
      <c r="AK92" s="260"/>
      <c r="AL92" s="260"/>
      <c r="AM92" s="260"/>
      <c r="AN92" s="260"/>
    </row>
    <row r="93" spans="2:41" ht="33" customHeight="1" x14ac:dyDescent="0.2">
      <c r="B93" s="421" t="s">
        <v>187</v>
      </c>
      <c r="C93" s="422" t="s">
        <v>120</v>
      </c>
      <c r="D93" s="423" t="s">
        <v>239</v>
      </c>
      <c r="E93" s="424">
        <f>INDEX('Referenčne količine'!$D41:$G41,MATCH(ObračunOB003!$C$3,'Referenčne količine'!$D$6:$G$6))</f>
        <v>35075</v>
      </c>
      <c r="F93" s="1211">
        <f>INDEX('Referenčne količine'!$D44:$G44,MATCH(ObračunOB003!$C$3,'Referenčne količine'!$D$6:$G$6))/1000</f>
        <v>0.16700000000000001</v>
      </c>
      <c r="G93" s="369">
        <f>E93*$F$93</f>
        <v>5857.5250000000005</v>
      </c>
      <c r="H93" s="327" cm="1">
        <f t="array" aca="1" ref="H93" ca="1">INDIRECT($C$3&amp;"!I90")</f>
        <v>0</v>
      </c>
      <c r="I93" s="1211" cm="1">
        <f t="array" aca="1" ref="I93" ca="1">INDIRECT($C$3&amp;"!E76")/1000</f>
        <v>0.16700000000000001</v>
      </c>
      <c r="J93" s="354">
        <f ca="1">H93*$I$93</f>
        <v>0</v>
      </c>
      <c r="K93" s="425">
        <v>0</v>
      </c>
      <c r="L93" s="580">
        <f ca="1">IF(D93="DA",E93-H93,0)</f>
        <v>35075</v>
      </c>
      <c r="M93" s="427">
        <f ca="1">IF(D93="DA",H93*(F93-I93),0)</f>
        <v>0</v>
      </c>
      <c r="N93" s="428">
        <f ca="1">IF(D93="DA",E93*$F$93-H93*$I$93,0)</f>
        <v>5857.5250000000005</v>
      </c>
      <c r="O93" s="349">
        <f ca="1">SUM(M93:N93)</f>
        <v>5857.5250000000005</v>
      </c>
      <c r="P93" s="251"/>
      <c r="Q93" s="251"/>
      <c r="R93" s="251"/>
      <c r="S93" s="251"/>
      <c r="T93" s="251"/>
      <c r="U93" s="251"/>
      <c r="V93" s="251"/>
      <c r="Y93" s="259"/>
      <c r="Z93" s="259"/>
      <c r="AA93" s="259"/>
      <c r="AB93" s="259"/>
      <c r="AC93" s="259"/>
      <c r="AD93" s="259"/>
      <c r="AE93" s="259"/>
      <c r="AF93" s="259"/>
      <c r="AG93" s="259"/>
      <c r="AH93" s="259"/>
      <c r="AI93" s="259"/>
      <c r="AJ93" s="259"/>
      <c r="AK93" s="260"/>
      <c r="AL93" s="260"/>
      <c r="AM93" s="260"/>
      <c r="AN93" s="260"/>
    </row>
    <row r="94" spans="2:41" ht="33" customHeight="1" x14ac:dyDescent="0.2">
      <c r="B94" s="577" t="s">
        <v>187</v>
      </c>
      <c r="C94" s="572" t="s">
        <v>300</v>
      </c>
      <c r="D94" s="573" t="s">
        <v>239</v>
      </c>
      <c r="E94" s="574">
        <f>INDEX('Referenčne količine'!$D42:$G42,MATCH(ObračunOB003!$C$3,'Referenčne količine'!$D$6:$G$6))</f>
        <v>0</v>
      </c>
      <c r="F94" s="1212"/>
      <c r="G94" s="328">
        <f t="shared" ref="G94:G95" si="13">E94*$F$93</f>
        <v>0</v>
      </c>
      <c r="H94" s="327" cm="1">
        <f t="array" aca="1" ref="H94" ca="1">INDIRECT($C$3&amp;"!J90")</f>
        <v>0</v>
      </c>
      <c r="I94" s="1212"/>
      <c r="J94" s="354">
        <f t="shared" ref="J94:J95" ca="1" si="14">H94*$I$93</f>
        <v>0</v>
      </c>
      <c r="K94" s="425">
        <v>0</v>
      </c>
      <c r="L94" s="575">
        <f ca="1">IF(D94="DA",E94-H94,0)</f>
        <v>0</v>
      </c>
      <c r="M94" s="434">
        <f ca="1">IF(D94="DA",H94*(F94-I94),0)</f>
        <v>0</v>
      </c>
      <c r="N94" s="576">
        <f ca="1">IF(D94="DA",E94*$F$93-H94*$I$93,0)</f>
        <v>0</v>
      </c>
      <c r="O94" s="581">
        <f t="shared" ref="O94:O95" ca="1" si="15">SUM(M94:N94)</f>
        <v>0</v>
      </c>
      <c r="P94" s="251"/>
      <c r="Q94" s="251"/>
      <c r="R94" s="251"/>
      <c r="S94" s="251"/>
      <c r="T94" s="251"/>
      <c r="U94" s="251"/>
      <c r="V94" s="251"/>
      <c r="Y94" s="259"/>
      <c r="Z94" s="259"/>
      <c r="AA94" s="259"/>
      <c r="AB94" s="259"/>
      <c r="AC94" s="259"/>
      <c r="AD94" s="259"/>
      <c r="AE94" s="259"/>
      <c r="AF94" s="259"/>
      <c r="AG94" s="259"/>
      <c r="AH94" s="259"/>
      <c r="AI94" s="259"/>
      <c r="AJ94" s="259"/>
      <c r="AK94" s="260"/>
      <c r="AL94" s="260"/>
      <c r="AM94" s="260"/>
      <c r="AN94" s="260"/>
    </row>
    <row r="95" spans="2:41" ht="30.75" thickBot="1" x14ac:dyDescent="0.25">
      <c r="B95" s="429" t="s">
        <v>418</v>
      </c>
      <c r="C95" s="430" t="s">
        <v>240</v>
      </c>
      <c r="D95" s="431" t="s">
        <v>241</v>
      </c>
      <c r="E95" s="432">
        <f>INDEX('Referenčne količine'!$D43:$G43,MATCH(ObračunOB003!$C$3,'Referenčne količine'!$D$6:$G$6))</f>
        <v>61571.62</v>
      </c>
      <c r="F95" s="1213"/>
      <c r="G95" s="371">
        <f t="shared" si="13"/>
        <v>10282.460540000002</v>
      </c>
      <c r="H95" s="327" cm="1">
        <f t="array" aca="1" ref="H95" ca="1">INDIRECT($C$3&amp;"!K90")</f>
        <v>0</v>
      </c>
      <c r="I95" s="1314"/>
      <c r="J95" s="380">
        <f t="shared" ca="1" si="14"/>
        <v>0</v>
      </c>
      <c r="K95" s="425">
        <f>IF(D95="DA",E95-H95,0)</f>
        <v>0</v>
      </c>
      <c r="L95" s="433"/>
      <c r="M95" s="434">
        <f>IF(D95="DA",G95-J95,0)</f>
        <v>0</v>
      </c>
      <c r="N95" s="435"/>
      <c r="O95" s="457">
        <f t="shared" si="15"/>
        <v>0</v>
      </c>
      <c r="P95" s="251"/>
      <c r="Q95" s="251"/>
      <c r="R95" s="251"/>
      <c r="S95" s="251"/>
      <c r="T95" s="251"/>
      <c r="U95" s="251"/>
      <c r="V95" s="251"/>
      <c r="Y95" s="259"/>
      <c r="Z95" s="259"/>
      <c r="AA95" s="259"/>
      <c r="AB95" s="259"/>
      <c r="AC95" s="259"/>
      <c r="AD95" s="259"/>
      <c r="AE95" s="259"/>
      <c r="AF95" s="259"/>
      <c r="AG95" s="259"/>
      <c r="AH95" s="259"/>
      <c r="AI95" s="259"/>
      <c r="AJ95" s="259"/>
      <c r="AK95" s="260"/>
      <c r="AL95" s="260"/>
      <c r="AM95" s="260"/>
      <c r="AN95" s="260"/>
    </row>
    <row r="96" spans="2:41" ht="33" customHeight="1" thickBot="1" x14ac:dyDescent="0.25">
      <c r="B96" s="1203" t="s">
        <v>163</v>
      </c>
      <c r="C96" s="1204"/>
      <c r="D96" s="1205"/>
      <c r="E96" s="330">
        <f>SUM(E93:E95)</f>
        <v>96646.62</v>
      </c>
      <c r="F96" s="331"/>
      <c r="G96" s="334">
        <f>SUM(G93:G95)</f>
        <v>16139.985540000001</v>
      </c>
      <c r="H96" s="436">
        <f ca="1">SUM(H93:H95)</f>
        <v>0</v>
      </c>
      <c r="I96" s="437"/>
      <c r="J96" s="438">
        <f t="shared" ref="J96:O96" ca="1" si="16">SUM(J93:J95)</f>
        <v>0</v>
      </c>
      <c r="K96" s="439">
        <f t="shared" si="16"/>
        <v>0</v>
      </c>
      <c r="L96" s="440">
        <f t="shared" ca="1" si="16"/>
        <v>35075</v>
      </c>
      <c r="M96" s="441">
        <f t="shared" ca="1" si="16"/>
        <v>0</v>
      </c>
      <c r="N96" s="441">
        <f t="shared" ca="1" si="16"/>
        <v>5857.5250000000005</v>
      </c>
      <c r="O96" s="359">
        <f t="shared" ca="1" si="16"/>
        <v>5857.5250000000005</v>
      </c>
      <c r="P96" s="246"/>
      <c r="Q96" s="246"/>
      <c r="R96" s="246"/>
      <c r="S96" s="246"/>
      <c r="T96" s="246"/>
      <c r="U96" s="246"/>
      <c r="V96" s="246"/>
      <c r="Y96" s="259"/>
      <c r="Z96" s="259"/>
      <c r="AA96" s="259"/>
      <c r="AB96" s="259"/>
      <c r="AC96" s="259"/>
      <c r="AD96" s="259"/>
      <c r="AE96" s="259"/>
      <c r="AF96" s="259"/>
      <c r="AG96" s="259"/>
      <c r="AH96" s="259"/>
      <c r="AI96" s="259"/>
      <c r="AJ96" s="259"/>
      <c r="AK96" s="260"/>
      <c r="AL96" s="260"/>
      <c r="AM96" s="260"/>
      <c r="AN96" s="260"/>
    </row>
    <row r="97" spans="2:40" ht="15.75" thickBot="1" x14ac:dyDescent="0.25">
      <c r="B97" s="248" t="s">
        <v>196</v>
      </c>
      <c r="Y97" s="259"/>
      <c r="Z97" s="259"/>
      <c r="AA97" s="259"/>
      <c r="AB97" s="259"/>
      <c r="AC97" s="259"/>
      <c r="AD97" s="259"/>
      <c r="AE97" s="259"/>
      <c r="AF97" s="259"/>
      <c r="AG97" s="259"/>
      <c r="AH97" s="259"/>
      <c r="AI97" s="259"/>
      <c r="AJ97" s="259"/>
      <c r="AK97" s="260"/>
      <c r="AL97" s="260"/>
      <c r="AM97" s="260"/>
      <c r="AN97" s="260"/>
    </row>
    <row r="98" spans="2:40" ht="18.75" thickBot="1" x14ac:dyDescent="0.25">
      <c r="B98" s="361" t="s">
        <v>197</v>
      </c>
      <c r="C98" s="316"/>
      <c r="D98" s="316"/>
      <c r="E98" s="316"/>
      <c r="F98" s="316"/>
      <c r="G98" s="316"/>
      <c r="H98" s="316"/>
      <c r="I98" s="316"/>
      <c r="J98" s="316"/>
      <c r="K98" s="316"/>
      <c r="L98" s="316"/>
      <c r="M98" s="316"/>
      <c r="N98" s="316"/>
      <c r="O98" s="317"/>
      <c r="Y98" s="259"/>
      <c r="Z98" s="259"/>
      <c r="AA98" s="259"/>
      <c r="AB98" s="259"/>
      <c r="AC98" s="259"/>
      <c r="AD98" s="259"/>
      <c r="AE98" s="259"/>
      <c r="AF98" s="259"/>
      <c r="AG98" s="259"/>
      <c r="AH98" s="259"/>
      <c r="AI98" s="259"/>
      <c r="AJ98" s="259"/>
      <c r="AK98" s="260"/>
      <c r="AL98" s="260"/>
      <c r="AM98" s="260"/>
      <c r="AN98" s="260"/>
    </row>
    <row r="99" spans="2:40" ht="28.5" customHeight="1" thickBot="1" x14ac:dyDescent="0.25">
      <c r="B99" s="1268" t="s">
        <v>175</v>
      </c>
      <c r="C99" s="1271" t="s">
        <v>231</v>
      </c>
      <c r="D99" s="1289" t="s">
        <v>199</v>
      </c>
      <c r="E99" s="1268" t="s">
        <v>232</v>
      </c>
      <c r="F99" s="1277" t="s">
        <v>233</v>
      </c>
      <c r="G99" s="1302" t="s">
        <v>234</v>
      </c>
      <c r="H99" s="1311" t="s">
        <v>235</v>
      </c>
      <c r="I99" s="1312"/>
      <c r="J99" s="1313"/>
      <c r="K99" s="1311" t="s">
        <v>188</v>
      </c>
      <c r="L99" s="1312"/>
      <c r="M99" s="1312"/>
      <c r="N99" s="1312"/>
      <c r="O99" s="1313"/>
      <c r="Y99" s="259"/>
      <c r="Z99" s="259"/>
      <c r="AA99" s="259"/>
      <c r="AB99" s="259"/>
      <c r="AC99" s="259"/>
      <c r="AD99" s="259"/>
      <c r="AE99" s="259"/>
      <c r="AF99" s="259"/>
      <c r="AG99" s="259"/>
      <c r="AH99" s="259"/>
      <c r="AI99" s="259"/>
      <c r="AJ99" s="259"/>
      <c r="AK99" s="260"/>
      <c r="AL99" s="260"/>
      <c r="AM99" s="260"/>
      <c r="AN99" s="260"/>
    </row>
    <row r="100" spans="2:40" ht="38.25" x14ac:dyDescent="0.2">
      <c r="B100" s="1270"/>
      <c r="C100" s="1275"/>
      <c r="D100" s="1290"/>
      <c r="E100" s="1270"/>
      <c r="F100" s="1279"/>
      <c r="G100" s="1304"/>
      <c r="H100" s="374" t="s">
        <v>236</v>
      </c>
      <c r="I100" s="337" t="s">
        <v>237</v>
      </c>
      <c r="J100" s="339" t="s">
        <v>238</v>
      </c>
      <c r="K100" s="335" t="s">
        <v>344</v>
      </c>
      <c r="L100" s="336" t="s">
        <v>345</v>
      </c>
      <c r="M100" s="335" t="s">
        <v>346</v>
      </c>
      <c r="N100" s="336" t="s">
        <v>347</v>
      </c>
      <c r="O100" s="341" t="s">
        <v>195</v>
      </c>
      <c r="Y100" s="259"/>
      <c r="Z100" s="259"/>
      <c r="AA100" s="259"/>
      <c r="AB100" s="259"/>
      <c r="AC100" s="259"/>
      <c r="AD100" s="259"/>
      <c r="AE100" s="259"/>
      <c r="AF100" s="259"/>
      <c r="AG100" s="259"/>
      <c r="AH100" s="259"/>
      <c r="AI100" s="259"/>
      <c r="AJ100" s="259"/>
      <c r="AK100" s="260"/>
      <c r="AL100" s="260"/>
      <c r="AM100" s="260"/>
      <c r="AN100" s="260"/>
    </row>
    <row r="101" spans="2:40" ht="15.75" thickBot="1" x14ac:dyDescent="0.25">
      <c r="B101" s="362"/>
      <c r="C101" s="442"/>
      <c r="D101" s="443"/>
      <c r="E101" s="342" t="s">
        <v>64</v>
      </c>
      <c r="F101" s="343" t="s">
        <v>182</v>
      </c>
      <c r="G101" s="418" t="s">
        <v>158</v>
      </c>
      <c r="H101" s="419" t="s">
        <v>64</v>
      </c>
      <c r="I101" s="1084" t="s">
        <v>183</v>
      </c>
      <c r="J101" s="375" t="s">
        <v>158</v>
      </c>
      <c r="K101" s="721" t="s">
        <v>64</v>
      </c>
      <c r="L101" s="1080" t="s">
        <v>64</v>
      </c>
      <c r="M101" s="1086" t="s">
        <v>158</v>
      </c>
      <c r="N101" s="324" t="s">
        <v>158</v>
      </c>
      <c r="O101" s="345" t="s">
        <v>158</v>
      </c>
      <c r="Y101" s="259"/>
      <c r="Z101" s="259"/>
      <c r="AA101" s="259"/>
      <c r="AB101" s="259"/>
      <c r="AC101" s="259"/>
      <c r="AD101" s="259"/>
      <c r="AE101" s="259"/>
      <c r="AF101" s="259"/>
      <c r="AG101" s="259"/>
      <c r="AH101" s="259"/>
      <c r="AI101" s="259"/>
      <c r="AJ101" s="259"/>
      <c r="AK101" s="260"/>
      <c r="AL101" s="260"/>
      <c r="AM101" s="260"/>
      <c r="AN101" s="260"/>
    </row>
    <row r="102" spans="2:40" ht="42" customHeight="1" x14ac:dyDescent="0.2">
      <c r="B102" s="421" t="s">
        <v>187</v>
      </c>
      <c r="C102" s="444" t="s">
        <v>120</v>
      </c>
      <c r="D102" s="445">
        <v>1</v>
      </c>
      <c r="E102" s="578">
        <f>D102*E93</f>
        <v>35075</v>
      </c>
      <c r="F102" s="1340">
        <f>F93</f>
        <v>0.16700000000000001</v>
      </c>
      <c r="G102" s="369">
        <f>E102*$F$102</f>
        <v>5857.5250000000005</v>
      </c>
      <c r="H102" s="370">
        <f ca="1">D102*H93</f>
        <v>0</v>
      </c>
      <c r="I102" s="1340">
        <f ca="1">I93</f>
        <v>0.16700000000000001</v>
      </c>
      <c r="J102" s="354">
        <f ca="1">H102*$I$102</f>
        <v>0</v>
      </c>
      <c r="K102" s="425">
        <v>0</v>
      </c>
      <c r="L102" s="426">
        <f ca="1">E102-H102</f>
        <v>35075</v>
      </c>
      <c r="M102" s="427">
        <f ca="1">H102*(F102-I102)</f>
        <v>0</v>
      </c>
      <c r="N102" s="428">
        <f ca="1">L102*$F$102</f>
        <v>5857.5250000000005</v>
      </c>
      <c r="O102" s="349">
        <f ca="1">SUM(M102:N102)</f>
        <v>5857.5250000000005</v>
      </c>
      <c r="Y102" s="259"/>
      <c r="Z102" s="259"/>
      <c r="AA102" s="259"/>
      <c r="AB102" s="259"/>
      <c r="AC102" s="259"/>
      <c r="AD102" s="259"/>
      <c r="AE102" s="259"/>
      <c r="AF102" s="259"/>
      <c r="AG102" s="259"/>
      <c r="AH102" s="259"/>
      <c r="AI102" s="259"/>
      <c r="AJ102" s="259"/>
      <c r="AK102" s="260"/>
      <c r="AL102" s="260"/>
      <c r="AM102" s="260"/>
      <c r="AN102" s="260"/>
    </row>
    <row r="103" spans="2:40" ht="42" customHeight="1" x14ac:dyDescent="0.2">
      <c r="B103" s="577" t="s">
        <v>187</v>
      </c>
      <c r="C103" s="572" t="s">
        <v>300</v>
      </c>
      <c r="D103" s="756">
        <v>1</v>
      </c>
      <c r="E103" s="566">
        <f>D103*E94</f>
        <v>0</v>
      </c>
      <c r="F103" s="1341"/>
      <c r="G103" s="567">
        <f>E103*$F$102</f>
        <v>0</v>
      </c>
      <c r="H103" s="370">
        <f ca="1">D103*H94</f>
        <v>0</v>
      </c>
      <c r="I103" s="1341"/>
      <c r="J103" s="354">
        <f ca="1">H103*$I$102</f>
        <v>0</v>
      </c>
      <c r="K103" s="425">
        <v>0</v>
      </c>
      <c r="L103" s="575">
        <f ca="1">E103-H103</f>
        <v>0</v>
      </c>
      <c r="M103" s="434">
        <f ca="1">H103*(F103-I103)</f>
        <v>0</v>
      </c>
      <c r="N103" s="576">
        <f ca="1">L103*$F$102</f>
        <v>0</v>
      </c>
      <c r="O103" s="581">
        <f t="shared" ref="O103:O104" ca="1" si="17">SUM(M103:N103)</f>
        <v>0</v>
      </c>
      <c r="Y103" s="259"/>
      <c r="Z103" s="259"/>
      <c r="AA103" s="259"/>
      <c r="AB103" s="259"/>
      <c r="AC103" s="259"/>
      <c r="AD103" s="259"/>
      <c r="AE103" s="259"/>
      <c r="AF103" s="259"/>
      <c r="AG103" s="259"/>
      <c r="AH103" s="259"/>
      <c r="AI103" s="259"/>
      <c r="AJ103" s="259"/>
      <c r="AK103" s="260"/>
      <c r="AL103" s="260"/>
      <c r="AM103" s="260"/>
      <c r="AN103" s="260"/>
    </row>
    <row r="104" spans="2:40" ht="42" customHeight="1" thickBot="1" x14ac:dyDescent="0.25">
      <c r="B104" s="429" t="s">
        <v>418</v>
      </c>
      <c r="C104" s="446" t="s">
        <v>240</v>
      </c>
      <c r="D104" s="447">
        <v>1</v>
      </c>
      <c r="E104" s="579">
        <f>D104*E95</f>
        <v>61571.62</v>
      </c>
      <c r="F104" s="1346"/>
      <c r="G104" s="371">
        <f>E104*F102</f>
        <v>10282.460540000002</v>
      </c>
      <c r="H104" s="370">
        <f ca="1">D104*H95</f>
        <v>0</v>
      </c>
      <c r="I104" s="1342"/>
      <c r="J104" s="380">
        <f ca="1">H104*$I$102</f>
        <v>0</v>
      </c>
      <c r="K104" s="425">
        <f ca="1">E104-H104</f>
        <v>61571.62</v>
      </c>
      <c r="L104" s="433"/>
      <c r="M104" s="434">
        <f ca="1">G104-J104</f>
        <v>10282.460540000002</v>
      </c>
      <c r="N104" s="435"/>
      <c r="O104" s="457">
        <f t="shared" ca="1" si="17"/>
        <v>10282.460540000002</v>
      </c>
      <c r="Y104" s="259"/>
      <c r="Z104" s="259"/>
      <c r="AA104" s="259"/>
      <c r="AB104" s="259"/>
      <c r="AC104" s="259"/>
      <c r="AD104" s="259"/>
      <c r="AE104" s="259"/>
      <c r="AF104" s="259"/>
      <c r="AG104" s="259"/>
      <c r="AH104" s="259"/>
      <c r="AI104" s="259"/>
      <c r="AJ104" s="259"/>
      <c r="AK104" s="260"/>
      <c r="AL104" s="260"/>
      <c r="AM104" s="260"/>
      <c r="AN104" s="260"/>
    </row>
    <row r="105" spans="2:40" ht="27" customHeight="1" thickBot="1" x14ac:dyDescent="0.25">
      <c r="B105" s="1203" t="s">
        <v>163</v>
      </c>
      <c r="C105" s="1204"/>
      <c r="D105" s="1205"/>
      <c r="E105" s="330">
        <f>SUM(E102:E104)</f>
        <v>96646.62</v>
      </c>
      <c r="F105" s="331"/>
      <c r="G105" s="334">
        <f>SUM(G102:G104)</f>
        <v>16139.985540000001</v>
      </c>
      <c r="H105" s="436">
        <f ca="1">SUM(H102:H104)</f>
        <v>0</v>
      </c>
      <c r="I105" s="437"/>
      <c r="J105" s="438">
        <f t="shared" ref="J105:L105" ca="1" si="18">SUM(J102:J104)</f>
        <v>0</v>
      </c>
      <c r="K105" s="439">
        <f t="shared" ca="1" si="18"/>
        <v>61571.62</v>
      </c>
      <c r="L105" s="440">
        <f t="shared" ca="1" si="18"/>
        <v>35075</v>
      </c>
      <c r="M105" s="441">
        <f ca="1">SUM(M102:M104)</f>
        <v>10282.460540000002</v>
      </c>
      <c r="N105" s="441">
        <f ca="1">SUM(N102:N104)</f>
        <v>5857.5250000000005</v>
      </c>
      <c r="O105" s="359">
        <f ca="1">SUM(O102:O104)</f>
        <v>16139.985540000001</v>
      </c>
      <c r="Y105" s="259"/>
      <c r="Z105" s="259"/>
      <c r="AA105" s="259"/>
      <c r="AB105" s="259"/>
      <c r="AC105" s="259"/>
      <c r="AD105" s="259"/>
      <c r="AE105" s="259"/>
      <c r="AF105" s="259"/>
      <c r="AG105" s="259"/>
      <c r="AH105" s="259"/>
      <c r="AI105" s="259"/>
      <c r="AJ105" s="259"/>
      <c r="AK105" s="260"/>
      <c r="AL105" s="260"/>
      <c r="AM105" s="260"/>
      <c r="AN105" s="260"/>
    </row>
    <row r="106" spans="2:40" ht="15.75" thickBot="1" x14ac:dyDescent="0.25">
      <c r="Y106" s="448"/>
      <c r="Z106" s="259"/>
      <c r="AA106" s="259"/>
      <c r="AB106" s="259"/>
      <c r="AC106" s="259"/>
      <c r="AD106" s="259"/>
      <c r="AE106" s="259"/>
      <c r="AF106" s="259"/>
      <c r="AG106" s="259"/>
      <c r="AH106" s="259"/>
      <c r="AI106" s="259"/>
      <c r="AJ106" s="259"/>
      <c r="AK106" s="260"/>
      <c r="AL106" s="260"/>
      <c r="AM106" s="260"/>
      <c r="AN106" s="260"/>
    </row>
    <row r="107" spans="2:40" ht="18.75" thickBot="1" x14ac:dyDescent="0.25">
      <c r="B107" s="361" t="s">
        <v>202</v>
      </c>
      <c r="C107" s="316"/>
      <c r="D107" s="316"/>
      <c r="E107" s="316"/>
      <c r="F107" s="316"/>
      <c r="G107" s="316"/>
      <c r="H107" s="316"/>
      <c r="I107" s="316"/>
      <c r="J107" s="316"/>
      <c r="K107" s="316"/>
      <c r="L107" s="316"/>
      <c r="M107" s="316"/>
      <c r="N107" s="316"/>
      <c r="O107" s="316"/>
      <c r="P107" s="316"/>
      <c r="Q107" s="316"/>
      <c r="R107" s="316"/>
      <c r="S107" s="317"/>
      <c r="Y107" s="448"/>
      <c r="Z107" s="449"/>
      <c r="AA107" s="449"/>
      <c r="AB107" s="449"/>
      <c r="AC107" s="449"/>
      <c r="AD107" s="449"/>
      <c r="AE107" s="449"/>
      <c r="AF107" s="449"/>
      <c r="AG107" s="449"/>
      <c r="AH107" s="449"/>
      <c r="AI107" s="449"/>
      <c r="AJ107" s="259"/>
      <c r="AK107" s="260"/>
      <c r="AL107" s="260"/>
      <c r="AM107" s="260"/>
      <c r="AN107" s="260"/>
    </row>
    <row r="108" spans="2:40" ht="15" customHeight="1" thickBot="1" x14ac:dyDescent="0.25">
      <c r="B108" s="1268" t="s">
        <v>175</v>
      </c>
      <c r="C108" s="1271" t="s">
        <v>231</v>
      </c>
      <c r="D108" s="1289" t="s">
        <v>188</v>
      </c>
      <c r="E108" s="1311" t="s">
        <v>242</v>
      </c>
      <c r="F108" s="1312"/>
      <c r="G108" s="1312"/>
      <c r="H108" s="1312"/>
      <c r="I108" s="1311" t="s">
        <v>243</v>
      </c>
      <c r="J108" s="1312"/>
      <c r="K108" s="1312"/>
      <c r="L108" s="1311" t="s">
        <v>223</v>
      </c>
      <c r="M108" s="1313"/>
      <c r="N108" s="1326" t="s">
        <v>224</v>
      </c>
      <c r="O108" s="1327"/>
      <c r="P108" s="1327"/>
      <c r="Q108" s="1327"/>
      <c r="R108" s="1327"/>
      <c r="S108" s="1328"/>
      <c r="Y108" s="259"/>
      <c r="Z108" s="450"/>
      <c r="AA108" s="450"/>
      <c r="AB108" s="450"/>
      <c r="AC108" s="450"/>
      <c r="AD108" s="450"/>
      <c r="AE108" s="450"/>
      <c r="AF108" s="450"/>
      <c r="AG108" s="450"/>
      <c r="AH108" s="450"/>
      <c r="AI108" s="450"/>
      <c r="AJ108" s="259"/>
      <c r="AK108" s="260"/>
      <c r="AL108" s="260"/>
      <c r="AM108" s="260"/>
      <c r="AN108" s="260"/>
    </row>
    <row r="109" spans="2:40" ht="69" customHeight="1" x14ac:dyDescent="0.2">
      <c r="B109" s="1270"/>
      <c r="C109" s="1275"/>
      <c r="D109" s="1290"/>
      <c r="E109" s="374" t="s">
        <v>245</v>
      </c>
      <c r="F109" s="374" t="s">
        <v>246</v>
      </c>
      <c r="G109" s="374" t="s">
        <v>247</v>
      </c>
      <c r="H109" s="339" t="s">
        <v>237</v>
      </c>
      <c r="I109" s="335" t="s">
        <v>248</v>
      </c>
      <c r="J109" s="336" t="s">
        <v>249</v>
      </c>
      <c r="K109" s="340" t="s">
        <v>250</v>
      </c>
      <c r="L109" s="335" t="s">
        <v>251</v>
      </c>
      <c r="M109" s="339" t="s">
        <v>252</v>
      </c>
      <c r="N109" s="335" t="s">
        <v>344</v>
      </c>
      <c r="O109" s="336" t="s">
        <v>345</v>
      </c>
      <c r="P109" s="335" t="s">
        <v>346</v>
      </c>
      <c r="Q109" s="336" t="s">
        <v>347</v>
      </c>
      <c r="R109" s="408" t="s">
        <v>244</v>
      </c>
      <c r="S109" s="408" t="s">
        <v>229</v>
      </c>
      <c r="Y109" s="347"/>
      <c r="Z109" s="259"/>
      <c r="AA109" s="259"/>
      <c r="AB109" s="259"/>
      <c r="AC109" s="259"/>
      <c r="AD109" s="259"/>
      <c r="AE109" s="259"/>
      <c r="AF109" s="259"/>
      <c r="AG109" s="259"/>
      <c r="AH109" s="259"/>
      <c r="AI109" s="259"/>
      <c r="AJ109" s="259"/>
      <c r="AK109" s="260"/>
      <c r="AL109" s="260"/>
      <c r="AM109" s="260"/>
      <c r="AN109" s="260"/>
    </row>
    <row r="110" spans="2:40" ht="15.75" thickBot="1" x14ac:dyDescent="0.25">
      <c r="B110" s="362"/>
      <c r="C110" s="442"/>
      <c r="D110" s="417"/>
      <c r="E110" s="419" t="s">
        <v>64</v>
      </c>
      <c r="F110" s="419" t="s">
        <v>64</v>
      </c>
      <c r="G110" s="419" t="s">
        <v>64</v>
      </c>
      <c r="H110" s="551" t="s">
        <v>183</v>
      </c>
      <c r="I110" s="721"/>
      <c r="J110" s="324" t="s">
        <v>64</v>
      </c>
      <c r="K110" s="344" t="s">
        <v>158</v>
      </c>
      <c r="L110" s="419" t="s">
        <v>64</v>
      </c>
      <c r="M110" s="419" t="s">
        <v>158</v>
      </c>
      <c r="N110" s="721" t="s">
        <v>64</v>
      </c>
      <c r="O110" s="1080" t="s">
        <v>64</v>
      </c>
      <c r="P110" s="1086" t="s">
        <v>158</v>
      </c>
      <c r="Q110" s="324" t="s">
        <v>158</v>
      </c>
      <c r="R110" s="451" t="s">
        <v>158</v>
      </c>
      <c r="S110" s="398" t="s">
        <v>158</v>
      </c>
      <c r="Y110" s="352"/>
      <c r="Z110" s="259"/>
      <c r="AA110" s="259"/>
      <c r="AB110" s="259"/>
      <c r="AC110" s="259"/>
      <c r="AD110" s="259"/>
      <c r="AE110" s="259"/>
      <c r="AF110" s="259"/>
      <c r="AG110" s="259"/>
      <c r="AH110" s="259"/>
      <c r="AI110" s="259"/>
      <c r="AJ110" s="259"/>
      <c r="AK110" s="260"/>
      <c r="AL110" s="260"/>
      <c r="AM110" s="260"/>
      <c r="AN110" s="260"/>
    </row>
    <row r="111" spans="2:40" ht="33" customHeight="1" x14ac:dyDescent="0.2">
      <c r="B111" s="421" t="s">
        <v>187</v>
      </c>
      <c r="C111" s="444" t="s">
        <v>120</v>
      </c>
      <c r="D111" s="583" t="str">
        <f>D93</f>
        <v>DA</v>
      </c>
      <c r="E111" s="1331">
        <v>0</v>
      </c>
      <c r="F111" s="1334">
        <v>0</v>
      </c>
      <c r="G111" s="1337">
        <f>E111-F111</f>
        <v>0</v>
      </c>
      <c r="H111" s="1340">
        <f ca="1">I102</f>
        <v>0.16700000000000001</v>
      </c>
      <c r="I111" s="1343">
        <v>1</v>
      </c>
      <c r="J111" s="1337">
        <f>G111*I111</f>
        <v>0</v>
      </c>
      <c r="K111" s="1317">
        <f ca="1">J111*H111</f>
        <v>0</v>
      </c>
      <c r="L111" s="453">
        <f ca="1">H102</f>
        <v>0</v>
      </c>
      <c r="M111" s="354">
        <f ca="1">L111*H111</f>
        <v>0</v>
      </c>
      <c r="N111" s="425">
        <v>0</v>
      </c>
      <c r="O111" s="453">
        <f ca="1">IF(D111="DA",L102,0)</f>
        <v>35075</v>
      </c>
      <c r="P111" s="427">
        <f ca="1">IF(D111="DA",L111*(F102-H111),0)</f>
        <v>0</v>
      </c>
      <c r="Q111" s="428">
        <f ca="1">G102-L111*H111</f>
        <v>5857.5250000000005</v>
      </c>
      <c r="R111" s="349">
        <f ca="1">SUM(P111:Q111)</f>
        <v>5857.5250000000005</v>
      </c>
      <c r="S111" s="584">
        <f ca="1">R111-O102</f>
        <v>0</v>
      </c>
      <c r="Y111" s="259"/>
      <c r="Z111" s="454"/>
      <c r="AA111" s="454"/>
      <c r="AB111" s="454"/>
      <c r="AC111" s="454"/>
      <c r="AD111" s="454"/>
      <c r="AE111" s="454"/>
      <c r="AF111" s="454"/>
      <c r="AG111" s="454"/>
      <c r="AH111" s="454"/>
      <c r="AI111" s="454"/>
      <c r="AJ111" s="259"/>
      <c r="AK111" s="260"/>
      <c r="AL111" s="260"/>
      <c r="AM111" s="260"/>
      <c r="AN111" s="260"/>
    </row>
    <row r="112" spans="2:40" ht="33" customHeight="1" x14ac:dyDescent="0.2">
      <c r="B112" s="577" t="s">
        <v>187</v>
      </c>
      <c r="C112" s="572" t="s">
        <v>300</v>
      </c>
      <c r="D112" s="582" t="s">
        <v>239</v>
      </c>
      <c r="E112" s="1332"/>
      <c r="F112" s="1335"/>
      <c r="G112" s="1338"/>
      <c r="H112" s="1341"/>
      <c r="I112" s="1344"/>
      <c r="J112" s="1338"/>
      <c r="K112" s="1318"/>
      <c r="L112" s="455">
        <f ca="1">H103</f>
        <v>0</v>
      </c>
      <c r="M112" s="354">
        <f ca="1">L112*H111</f>
        <v>0</v>
      </c>
      <c r="N112" s="425">
        <v>0</v>
      </c>
      <c r="O112" s="455">
        <f ca="1">IF(D112="DA",L103,0)</f>
        <v>0</v>
      </c>
      <c r="P112" s="434">
        <f ca="1">IF(D112="DA",L112*(F103-H112),0)</f>
        <v>0</v>
      </c>
      <c r="Q112" s="576">
        <f ca="1">G103-L112*H111</f>
        <v>0</v>
      </c>
      <c r="R112" s="457">
        <f ca="1">SUM(P112:Q112)</f>
        <v>0</v>
      </c>
      <c r="S112" s="585">
        <f ca="1">R112-O103</f>
        <v>0</v>
      </c>
      <c r="Y112" s="259"/>
      <c r="Z112" s="454"/>
      <c r="AA112" s="454"/>
      <c r="AB112" s="454"/>
      <c r="AC112" s="454"/>
      <c r="AD112" s="454"/>
      <c r="AE112" s="454"/>
      <c r="AF112" s="454"/>
      <c r="AG112" s="454"/>
      <c r="AH112" s="454"/>
      <c r="AI112" s="454"/>
      <c r="AJ112" s="259"/>
      <c r="AK112" s="260"/>
      <c r="AL112" s="260"/>
      <c r="AM112" s="260"/>
      <c r="AN112" s="260"/>
    </row>
    <row r="113" spans="2:40" ht="33" customHeight="1" thickBot="1" x14ac:dyDescent="0.25">
      <c r="B113" s="429" t="s">
        <v>418</v>
      </c>
      <c r="C113" s="446" t="s">
        <v>240</v>
      </c>
      <c r="D113" s="550" t="str">
        <f>D95</f>
        <v>NE</v>
      </c>
      <c r="E113" s="1333"/>
      <c r="F113" s="1336"/>
      <c r="G113" s="1339"/>
      <c r="H113" s="1342"/>
      <c r="I113" s="1345"/>
      <c r="J113" s="1339"/>
      <c r="K113" s="1319"/>
      <c r="L113" s="455">
        <f ca="1">H104</f>
        <v>0</v>
      </c>
      <c r="M113" s="354">
        <f ca="1">L113*H111</f>
        <v>0</v>
      </c>
      <c r="N113" s="425">
        <f>IF(D113="DA",E104-L113,0)</f>
        <v>0</v>
      </c>
      <c r="O113" s="456"/>
      <c r="P113" s="434">
        <f>IF(D113="DA",G104-M113,0)</f>
        <v>0</v>
      </c>
      <c r="Q113" s="435"/>
      <c r="R113" s="457">
        <f>SUM(P113:Q113)</f>
        <v>0</v>
      </c>
      <c r="S113" s="586">
        <f ca="1">R113-O104</f>
        <v>-10282.460540000002</v>
      </c>
      <c r="Y113" s="259"/>
      <c r="Z113" s="454"/>
      <c r="AA113" s="454"/>
      <c r="AB113" s="454"/>
      <c r="AC113" s="454"/>
      <c r="AD113" s="454"/>
      <c r="AE113" s="454"/>
      <c r="AF113" s="454"/>
      <c r="AG113" s="454"/>
      <c r="AH113" s="454"/>
      <c r="AI113" s="454"/>
      <c r="AJ113" s="259"/>
      <c r="AK113" s="260"/>
      <c r="AL113" s="260"/>
      <c r="AM113" s="260"/>
      <c r="AN113" s="260"/>
    </row>
    <row r="114" spans="2:40" ht="33" customHeight="1" thickBot="1" x14ac:dyDescent="0.25">
      <c r="B114" s="1203" t="s">
        <v>163</v>
      </c>
      <c r="C114" s="1204"/>
      <c r="D114" s="1205"/>
      <c r="E114" s="458"/>
      <c r="F114" s="459"/>
      <c r="G114" s="459"/>
      <c r="H114" s="459"/>
      <c r="I114" s="459"/>
      <c r="J114" s="459"/>
      <c r="K114" s="459"/>
      <c r="L114" s="298">
        <f ca="1">SUM(L111:L113)</f>
        <v>0</v>
      </c>
      <c r="M114" s="441">
        <f t="shared" ref="M114:O114" ca="1" si="19">SUM(M111:M113)</f>
        <v>0</v>
      </c>
      <c r="N114" s="439">
        <f t="shared" si="19"/>
        <v>0</v>
      </c>
      <c r="O114" s="298">
        <f t="shared" ca="1" si="19"/>
        <v>35075</v>
      </c>
      <c r="P114" s="441">
        <f ca="1">SUM(P111:P113)</f>
        <v>0</v>
      </c>
      <c r="Q114" s="441">
        <f ca="1">SUM(Q111:Q113)</f>
        <v>5857.5250000000005</v>
      </c>
      <c r="R114" s="359">
        <f ca="1">SUM(R111:R113)</f>
        <v>5857.5250000000005</v>
      </c>
      <c r="S114" s="587">
        <f ca="1">SUM(S111:S113)</f>
        <v>-10282.460540000002</v>
      </c>
      <c r="Y114" s="352"/>
      <c r="Z114" s="460"/>
      <c r="AA114" s="460"/>
      <c r="AB114" s="460"/>
      <c r="AC114" s="460"/>
      <c r="AD114" s="460"/>
      <c r="AE114" s="460"/>
      <c r="AF114" s="460"/>
      <c r="AG114" s="460"/>
      <c r="AH114" s="460"/>
      <c r="AI114" s="460"/>
      <c r="AJ114" s="259"/>
      <c r="AK114" s="260"/>
      <c r="AL114" s="260"/>
      <c r="AM114" s="260"/>
      <c r="AN114" s="260"/>
    </row>
    <row r="115" spans="2:40" ht="14.25" customHeight="1" x14ac:dyDescent="0.2">
      <c r="Y115" s="259"/>
      <c r="Z115" s="460"/>
      <c r="AA115" s="460"/>
      <c r="AB115" s="460"/>
      <c r="AC115" s="460"/>
      <c r="AD115" s="460"/>
      <c r="AE115" s="460"/>
      <c r="AF115" s="460"/>
      <c r="AG115" s="460"/>
      <c r="AH115" s="460"/>
      <c r="AI115" s="460"/>
      <c r="AJ115" s="259"/>
      <c r="AK115" s="260"/>
      <c r="AL115" s="260"/>
      <c r="AM115" s="260"/>
      <c r="AN115" s="260"/>
    </row>
    <row r="116" spans="2:40" ht="18.75" thickBot="1" x14ac:dyDescent="0.25">
      <c r="B116" s="256"/>
      <c r="C116" s="247"/>
      <c r="D116" s="247"/>
      <c r="E116" s="247"/>
      <c r="F116" s="247"/>
      <c r="G116" s="247"/>
      <c r="H116" s="247"/>
      <c r="I116" s="245"/>
      <c r="J116" s="246"/>
      <c r="K116" s="246"/>
      <c r="L116" s="246"/>
      <c r="M116" s="246"/>
      <c r="N116" s="246"/>
      <c r="O116" s="247"/>
      <c r="P116" s="247"/>
      <c r="Q116" s="247"/>
      <c r="R116" s="247"/>
      <c r="S116" s="247"/>
      <c r="T116" s="255"/>
      <c r="U116" s="255"/>
      <c r="V116" s="255"/>
      <c r="Y116" s="352"/>
      <c r="Z116" s="259"/>
      <c r="AA116" s="259"/>
      <c r="AB116" s="259"/>
      <c r="AC116" s="259"/>
      <c r="AD116" s="259"/>
      <c r="AE116" s="259"/>
      <c r="AF116" s="259"/>
      <c r="AG116" s="259"/>
      <c r="AH116" s="259"/>
      <c r="AI116" s="259"/>
      <c r="AJ116" s="259"/>
      <c r="AK116" s="260"/>
      <c r="AL116" s="260"/>
      <c r="AM116" s="260"/>
      <c r="AN116" s="260"/>
    </row>
    <row r="117" spans="2:40" ht="30.75" thickBot="1" x14ac:dyDescent="0.25">
      <c r="B117" s="461" t="s">
        <v>253</v>
      </c>
      <c r="C117" s="462"/>
      <c r="D117" s="462"/>
      <c r="E117" s="462"/>
      <c r="F117" s="462"/>
      <c r="G117" s="462"/>
      <c r="H117" s="462"/>
      <c r="I117" s="462"/>
      <c r="J117" s="462"/>
      <c r="K117" s="462"/>
      <c r="L117" s="462"/>
      <c r="M117" s="462"/>
      <c r="N117" s="462"/>
      <c r="O117" s="462"/>
      <c r="P117" s="462"/>
      <c r="Q117" s="462"/>
      <c r="R117" s="462"/>
      <c r="S117" s="462"/>
      <c r="T117" s="462"/>
      <c r="U117" s="462"/>
      <c r="V117" s="463"/>
      <c r="Y117" s="259"/>
      <c r="Z117" s="460"/>
      <c r="AA117" s="460"/>
      <c r="AB117" s="460"/>
      <c r="AC117" s="460"/>
      <c r="AD117" s="460"/>
      <c r="AE117" s="460"/>
      <c r="AF117" s="460"/>
      <c r="AG117" s="460"/>
      <c r="AH117" s="460"/>
      <c r="AI117" s="460"/>
      <c r="AJ117" s="464"/>
      <c r="AK117" s="260"/>
      <c r="AL117" s="260"/>
      <c r="AM117" s="260"/>
      <c r="AN117" s="260"/>
    </row>
    <row r="118" spans="2:40" ht="15" x14ac:dyDescent="0.2">
      <c r="B118" s="465"/>
      <c r="C118" s="465"/>
      <c r="D118" s="465"/>
      <c r="E118" s="465"/>
      <c r="F118" s="465"/>
      <c r="G118" s="465"/>
      <c r="H118" s="465"/>
      <c r="I118" s="465"/>
      <c r="J118" s="466"/>
      <c r="K118" s="466"/>
      <c r="L118" s="466"/>
      <c r="M118" s="466"/>
      <c r="N118" s="466"/>
      <c r="O118" s="466"/>
      <c r="P118" s="466"/>
      <c r="Q118" s="466"/>
      <c r="R118" s="466"/>
      <c r="S118" s="466"/>
      <c r="T118" s="466"/>
      <c r="U118" s="466"/>
      <c r="V118" s="466"/>
      <c r="Y118" s="259"/>
      <c r="Z118" s="259"/>
      <c r="AA118" s="259"/>
      <c r="AB118" s="259"/>
      <c r="AC118" s="259"/>
      <c r="AD118" s="259"/>
      <c r="AE118" s="259"/>
      <c r="AF118" s="259"/>
      <c r="AG118" s="259"/>
      <c r="AH118" s="259"/>
      <c r="AI118" s="259"/>
      <c r="AJ118" s="259"/>
      <c r="AK118" s="260"/>
      <c r="AL118" s="260"/>
      <c r="AM118" s="260"/>
      <c r="AN118" s="260"/>
    </row>
    <row r="119" spans="2:40" ht="15.75" thickBot="1" x14ac:dyDescent="0.25">
      <c r="B119" s="465"/>
      <c r="C119" s="465"/>
      <c r="D119" s="465"/>
      <c r="E119" s="465"/>
      <c r="F119" s="465"/>
      <c r="G119" s="465"/>
      <c r="H119" s="465"/>
      <c r="I119" s="465"/>
      <c r="J119" s="466"/>
      <c r="K119" s="466"/>
      <c r="L119" s="466"/>
      <c r="M119" s="466"/>
      <c r="N119" s="466"/>
      <c r="O119" s="466"/>
      <c r="P119" s="466"/>
      <c r="Q119" s="466"/>
      <c r="R119" s="466"/>
      <c r="S119" s="466"/>
      <c r="T119" s="466"/>
      <c r="U119" s="466"/>
      <c r="V119" s="466"/>
      <c r="Y119" s="259"/>
      <c r="Z119" s="259"/>
      <c r="AA119" s="259"/>
      <c r="AB119" s="259"/>
      <c r="AC119" s="259"/>
      <c r="AD119" s="259"/>
      <c r="AE119" s="259"/>
      <c r="AF119" s="259"/>
      <c r="AG119" s="259"/>
      <c r="AH119" s="259"/>
      <c r="AI119" s="259"/>
      <c r="AJ119" s="259"/>
      <c r="AK119" s="260"/>
      <c r="AL119" s="260"/>
      <c r="AM119" s="260"/>
      <c r="AN119" s="260"/>
    </row>
    <row r="120" spans="2:40" ht="35.25" customHeight="1" thickBot="1" x14ac:dyDescent="0.25">
      <c r="B120" s="1320" t="s">
        <v>174</v>
      </c>
      <c r="C120" s="1321"/>
      <c r="D120" s="1321"/>
      <c r="E120" s="1322"/>
      <c r="F120" s="246"/>
      <c r="G120" s="1323" t="s">
        <v>254</v>
      </c>
      <c r="H120" s="1321" t="s">
        <v>197</v>
      </c>
      <c r="I120" s="1321"/>
      <c r="J120" s="1321"/>
      <c r="K120" s="1321"/>
      <c r="L120" s="1322"/>
      <c r="M120" s="246"/>
      <c r="N120" s="1323" t="s">
        <v>255</v>
      </c>
      <c r="O120" s="1329" t="s">
        <v>202</v>
      </c>
      <c r="P120" s="1329"/>
      <c r="Q120" s="1329"/>
      <c r="R120" s="1330"/>
      <c r="S120" s="246"/>
      <c r="T120" s="246"/>
      <c r="U120" s="246"/>
      <c r="V120" s="246"/>
      <c r="Z120" s="259"/>
      <c r="AA120" s="259"/>
      <c r="AB120" s="259"/>
      <c r="AC120" s="259"/>
      <c r="AD120" s="259"/>
      <c r="AE120" s="259"/>
      <c r="AF120" s="259"/>
      <c r="AG120" s="259"/>
      <c r="AH120" s="259"/>
      <c r="AI120" s="259"/>
      <c r="AJ120" s="259"/>
      <c r="AK120" s="260"/>
      <c r="AL120" s="260"/>
      <c r="AM120" s="260"/>
      <c r="AN120" s="260"/>
    </row>
    <row r="121" spans="2:40" ht="66" customHeight="1" x14ac:dyDescent="0.2">
      <c r="B121" s="1268" t="s">
        <v>256</v>
      </c>
      <c r="C121" s="1082" t="s">
        <v>257</v>
      </c>
      <c r="D121" s="408" t="s">
        <v>258</v>
      </c>
      <c r="E121" s="1082" t="s">
        <v>259</v>
      </c>
      <c r="F121" s="246"/>
      <c r="G121" s="1324"/>
      <c r="H121" s="1268" t="s">
        <v>256</v>
      </c>
      <c r="I121" s="1277" t="s">
        <v>199</v>
      </c>
      <c r="J121" s="1082" t="s">
        <v>257</v>
      </c>
      <c r="K121" s="408" t="s">
        <v>258</v>
      </c>
      <c r="L121" s="1082" t="s">
        <v>259</v>
      </c>
      <c r="M121" s="246"/>
      <c r="N121" s="1324"/>
      <c r="O121" s="1268" t="s">
        <v>256</v>
      </c>
      <c r="P121" s="1082" t="s">
        <v>257</v>
      </c>
      <c r="Q121" s="408" t="s">
        <v>258</v>
      </c>
      <c r="R121" s="1082" t="s">
        <v>260</v>
      </c>
      <c r="S121" s="246"/>
      <c r="T121" s="246"/>
      <c r="U121" s="246"/>
      <c r="V121" s="246"/>
    </row>
    <row r="122" spans="2:40" ht="21.75" customHeight="1" thickBot="1" x14ac:dyDescent="0.25">
      <c r="B122" s="1309"/>
      <c r="C122" s="418" t="s">
        <v>158</v>
      </c>
      <c r="D122" s="375" t="s">
        <v>158</v>
      </c>
      <c r="E122" s="468" t="s">
        <v>158</v>
      </c>
      <c r="F122" s="415"/>
      <c r="G122" s="1324"/>
      <c r="H122" s="1309"/>
      <c r="I122" s="1349"/>
      <c r="J122" s="418" t="s">
        <v>158</v>
      </c>
      <c r="K122" s="375" t="s">
        <v>158</v>
      </c>
      <c r="L122" s="468" t="s">
        <v>158</v>
      </c>
      <c r="M122" s="415"/>
      <c r="N122" s="1324"/>
      <c r="O122" s="1309"/>
      <c r="P122" s="418" t="s">
        <v>158</v>
      </c>
      <c r="Q122" s="375" t="s">
        <v>158</v>
      </c>
      <c r="R122" s="468" t="s">
        <v>158</v>
      </c>
      <c r="S122" s="415"/>
      <c r="T122" s="415"/>
      <c r="U122" s="415"/>
      <c r="V122" s="415"/>
    </row>
    <row r="123" spans="2:40" ht="33" customHeight="1" x14ac:dyDescent="0.2">
      <c r="B123" s="469" t="s">
        <v>71</v>
      </c>
      <c r="C123" s="470">
        <f>INDEX('Referenčne količine'!$D49:$G49,MATCH(ObračunOB003!$C$3,'Referenčne količine'!$D$6:$G$6))</f>
        <v>6291</v>
      </c>
      <c r="D123" s="471">
        <v>0</v>
      </c>
      <c r="E123" s="472">
        <f>C123-D123</f>
        <v>6291</v>
      </c>
      <c r="F123" s="251"/>
      <c r="G123" s="1324"/>
      <c r="H123" s="452" t="s">
        <v>71</v>
      </c>
      <c r="I123" s="445">
        <v>1</v>
      </c>
      <c r="J123" s="369">
        <f>C123*I123</f>
        <v>6291</v>
      </c>
      <c r="K123" s="471">
        <v>0</v>
      </c>
      <c r="L123" s="472">
        <f>J123-K123</f>
        <v>6291</v>
      </c>
      <c r="M123" s="251"/>
      <c r="N123" s="1324"/>
      <c r="O123" s="452" t="s">
        <v>71</v>
      </c>
      <c r="P123" s="369">
        <f>J123</f>
        <v>6291</v>
      </c>
      <c r="Q123" s="473" cm="1">
        <f t="array" aca="1" ref="Q123" ca="1">INDIRECT($C$3&amp;"!E83")</f>
        <v>0</v>
      </c>
      <c r="R123" s="472">
        <f ca="1">P123-Q123</f>
        <v>6291</v>
      </c>
      <c r="S123" s="251"/>
      <c r="T123" s="251"/>
      <c r="U123" s="251"/>
      <c r="V123" s="251"/>
    </row>
    <row r="124" spans="2:40" ht="33" customHeight="1" thickBot="1" x14ac:dyDescent="0.25">
      <c r="B124" s="474" t="s">
        <v>163</v>
      </c>
      <c r="C124" s="334">
        <f>SUM(C123:C123)</f>
        <v>6291</v>
      </c>
      <c r="D124" s="475">
        <f>SUM(D123:D123)</f>
        <v>0</v>
      </c>
      <c r="E124" s="476">
        <f>SUM(E123:E123)</f>
        <v>6291</v>
      </c>
      <c r="F124" s="246"/>
      <c r="G124" s="1325"/>
      <c r="H124" s="1315" t="s">
        <v>163</v>
      </c>
      <c r="I124" s="1316"/>
      <c r="J124" s="334">
        <f>SUM(J123:J123)</f>
        <v>6291</v>
      </c>
      <c r="K124" s="475">
        <f>SUM(K123:K123)</f>
        <v>0</v>
      </c>
      <c r="L124" s="476">
        <f>SUM(L123:L123)</f>
        <v>6291</v>
      </c>
      <c r="M124" s="246"/>
      <c r="N124" s="1325"/>
      <c r="O124" s="474" t="s">
        <v>163</v>
      </c>
      <c r="P124" s="334">
        <f>SUM(P123:P123)</f>
        <v>6291</v>
      </c>
      <c r="Q124" s="475">
        <f ca="1">SUM(Q123:Q123)</f>
        <v>0</v>
      </c>
      <c r="R124" s="476">
        <f ca="1">SUM(R123:R123)</f>
        <v>6291</v>
      </c>
      <c r="S124" s="246"/>
      <c r="T124" s="246"/>
      <c r="U124" s="246"/>
      <c r="V124" s="246"/>
    </row>
    <row r="125" spans="2:40" ht="14.25" customHeight="1" x14ac:dyDescent="0.2">
      <c r="I125" s="257" t="s">
        <v>196</v>
      </c>
    </row>
  </sheetData>
  <mergeCells count="122">
    <mergeCell ref="H124:I124"/>
    <mergeCell ref="B114:D114"/>
    <mergeCell ref="B120:E120"/>
    <mergeCell ref="G120:G124"/>
    <mergeCell ref="H120:L120"/>
    <mergeCell ref="N120:N124"/>
    <mergeCell ref="O120:R120"/>
    <mergeCell ref="B121:B122"/>
    <mergeCell ref="H121:H122"/>
    <mergeCell ref="I121:I122"/>
    <mergeCell ref="O121:O122"/>
    <mergeCell ref="N108:S108"/>
    <mergeCell ref="E111:E113"/>
    <mergeCell ref="F111:F113"/>
    <mergeCell ref="G111:G113"/>
    <mergeCell ref="H111:H113"/>
    <mergeCell ref="I111:I113"/>
    <mergeCell ref="J111:J113"/>
    <mergeCell ref="K111:K113"/>
    <mergeCell ref="B108:B109"/>
    <mergeCell ref="C108:C109"/>
    <mergeCell ref="D108:D109"/>
    <mergeCell ref="E108:H108"/>
    <mergeCell ref="I108:K108"/>
    <mergeCell ref="L108:M108"/>
    <mergeCell ref="G99:G100"/>
    <mergeCell ref="H99:J99"/>
    <mergeCell ref="K99:O99"/>
    <mergeCell ref="F102:F104"/>
    <mergeCell ref="I102:I104"/>
    <mergeCell ref="B105:D105"/>
    <mergeCell ref="H90:J90"/>
    <mergeCell ref="K90:O90"/>
    <mergeCell ref="F93:F95"/>
    <mergeCell ref="I93:I95"/>
    <mergeCell ref="B96:D96"/>
    <mergeCell ref="B99:B100"/>
    <mergeCell ref="C99:C100"/>
    <mergeCell ref="D99:D100"/>
    <mergeCell ref="E99:E100"/>
    <mergeCell ref="F99:F100"/>
    <mergeCell ref="B77:B79"/>
    <mergeCell ref="C77:C79"/>
    <mergeCell ref="D77:F77"/>
    <mergeCell ref="G77:M77"/>
    <mergeCell ref="B90:B91"/>
    <mergeCell ref="C90:C91"/>
    <mergeCell ref="D90:D91"/>
    <mergeCell ref="E90:E91"/>
    <mergeCell ref="F90:F91"/>
    <mergeCell ref="G90:G91"/>
    <mergeCell ref="O52:O55"/>
    <mergeCell ref="B56:D56"/>
    <mergeCell ref="B58:B59"/>
    <mergeCell ref="C58:C59"/>
    <mergeCell ref="D58:D59"/>
    <mergeCell ref="B65:D65"/>
    <mergeCell ref="H48:H50"/>
    <mergeCell ref="I48:I50"/>
    <mergeCell ref="L49:M49"/>
    <mergeCell ref="F52:F55"/>
    <mergeCell ref="H52:H55"/>
    <mergeCell ref="J52:J55"/>
    <mergeCell ref="M52:M55"/>
    <mergeCell ref="B48:B50"/>
    <mergeCell ref="C48:C50"/>
    <mergeCell ref="D48:D50"/>
    <mergeCell ref="E48:E50"/>
    <mergeCell ref="F48:F50"/>
    <mergeCell ref="G48:G50"/>
    <mergeCell ref="C40:D40"/>
    <mergeCell ref="C41:D41"/>
    <mergeCell ref="C42:D42"/>
    <mergeCell ref="C43:D43"/>
    <mergeCell ref="B44:D44"/>
    <mergeCell ref="C32:D32"/>
    <mergeCell ref="C33:D33"/>
    <mergeCell ref="C34:D34"/>
    <mergeCell ref="B35:D35"/>
    <mergeCell ref="B37:B38"/>
    <mergeCell ref="C37:D38"/>
    <mergeCell ref="P28:Q28"/>
    <mergeCell ref="C30:D30"/>
    <mergeCell ref="C31:D31"/>
    <mergeCell ref="F31:F34"/>
    <mergeCell ref="H31:H34"/>
    <mergeCell ref="J31:J34"/>
    <mergeCell ref="M31:M34"/>
    <mergeCell ref="O31:O34"/>
    <mergeCell ref="C39:D39"/>
    <mergeCell ref="D24:E24"/>
    <mergeCell ref="B27:B29"/>
    <mergeCell ref="C27:D29"/>
    <mergeCell ref="E27:E29"/>
    <mergeCell ref="F27:F29"/>
    <mergeCell ref="G27:G29"/>
    <mergeCell ref="D22:E22"/>
    <mergeCell ref="I22:J22"/>
    <mergeCell ref="N22:O22"/>
    <mergeCell ref="D23:E23"/>
    <mergeCell ref="I23:J23"/>
    <mergeCell ref="N23:O23"/>
    <mergeCell ref="H27:H29"/>
    <mergeCell ref="I27:I29"/>
    <mergeCell ref="B10:B12"/>
    <mergeCell ref="C10:E10"/>
    <mergeCell ref="F10:H10"/>
    <mergeCell ref="I10:K10"/>
    <mergeCell ref="L10:N10"/>
    <mergeCell ref="C11:E11"/>
    <mergeCell ref="F11:H11"/>
    <mergeCell ref="I11:K11"/>
    <mergeCell ref="L11:N11"/>
    <mergeCell ref="J3:J4"/>
    <mergeCell ref="K3:M4"/>
    <mergeCell ref="Q3:T4"/>
    <mergeCell ref="C4:H5"/>
    <mergeCell ref="J5:J6"/>
    <mergeCell ref="K5:M6"/>
    <mergeCell ref="Q5:T6"/>
    <mergeCell ref="C6:H6"/>
    <mergeCell ref="Q8:U10"/>
  </mergeCells>
  <conditionalFormatting sqref="L31">
    <cfRule type="cellIs" dxfId="63" priority="29" operator="equal">
      <formula>0</formula>
    </cfRule>
  </conditionalFormatting>
  <conditionalFormatting sqref="J31">
    <cfRule type="cellIs" dxfId="62" priority="32" operator="equal">
      <formula>0</formula>
    </cfRule>
  </conditionalFormatting>
  <conditionalFormatting sqref="M31">
    <cfRule type="cellIs" dxfId="61" priority="31" operator="equal">
      <formula>0</formula>
    </cfRule>
  </conditionalFormatting>
  <conditionalFormatting sqref="P31">
    <cfRule type="cellIs" dxfId="60" priority="30" operator="equal">
      <formula>0</formula>
    </cfRule>
  </conditionalFormatting>
  <conditionalFormatting sqref="L52">
    <cfRule type="cellIs" dxfId="59" priority="24" operator="equal">
      <formula>0</formula>
    </cfRule>
  </conditionalFormatting>
  <conditionalFormatting sqref="O52">
    <cfRule type="cellIs" dxfId="58" priority="28" operator="equal">
      <formula>0</formula>
    </cfRule>
  </conditionalFormatting>
  <conditionalFormatting sqref="M52">
    <cfRule type="cellIs" dxfId="57" priority="27" operator="equal">
      <formula>0</formula>
    </cfRule>
  </conditionalFormatting>
  <conditionalFormatting sqref="P52">
    <cfRule type="cellIs" dxfId="56" priority="26" operator="equal">
      <formula>0</formula>
    </cfRule>
  </conditionalFormatting>
  <conditionalFormatting sqref="N52">
    <cfRule type="cellIs" dxfId="55" priority="25" operator="equal">
      <formula>0</formula>
    </cfRule>
  </conditionalFormatting>
  <conditionalFormatting sqref="P80:P82 P84">
    <cfRule type="cellIs" dxfId="54" priority="22" operator="lessThan">
      <formula>0</formula>
    </cfRule>
    <cfRule type="cellIs" dxfId="53" priority="23" operator="greaterThan">
      <formula>0</formula>
    </cfRule>
  </conditionalFormatting>
  <conditionalFormatting sqref="S111:S113">
    <cfRule type="cellIs" dxfId="52" priority="20" operator="lessThan">
      <formula>0</formula>
    </cfRule>
    <cfRule type="cellIs" dxfId="51" priority="21" operator="greaterThan">
      <formula>0</formula>
    </cfRule>
  </conditionalFormatting>
  <conditionalFormatting sqref="S114">
    <cfRule type="cellIs" dxfId="50" priority="18" operator="lessThan">
      <formula>0</formula>
    </cfRule>
    <cfRule type="cellIs" dxfId="49" priority="19" operator="greaterThan">
      <formula>0</formula>
    </cfRule>
  </conditionalFormatting>
  <conditionalFormatting sqref="L13:M13">
    <cfRule type="cellIs" dxfId="48" priority="16" operator="lessThan">
      <formula>0</formula>
    </cfRule>
    <cfRule type="cellIs" dxfId="47" priority="17" operator="greaterThan">
      <formula>0</formula>
    </cfRule>
  </conditionalFormatting>
  <conditionalFormatting sqref="L16:M16">
    <cfRule type="cellIs" dxfId="46" priority="14" operator="lessThan">
      <formula>0</formula>
    </cfRule>
    <cfRule type="cellIs" dxfId="45" priority="15" operator="greaterThan">
      <formula>0</formula>
    </cfRule>
  </conditionalFormatting>
  <conditionalFormatting sqref="L14:M14">
    <cfRule type="cellIs" dxfId="44" priority="12" operator="lessThan">
      <formula>0</formula>
    </cfRule>
    <cfRule type="cellIs" dxfId="43" priority="13" operator="greaterThan">
      <formula>0</formula>
    </cfRule>
  </conditionalFormatting>
  <conditionalFormatting sqref="L15:M15">
    <cfRule type="cellIs" dxfId="42" priority="10" operator="lessThan">
      <formula>0</formula>
    </cfRule>
    <cfRule type="cellIs" dxfId="41" priority="11" operator="greaterThan">
      <formula>0</formula>
    </cfRule>
  </conditionalFormatting>
  <conditionalFormatting sqref="N31">
    <cfRule type="cellIs" dxfId="40" priority="9" operator="equal">
      <formula>0</formula>
    </cfRule>
  </conditionalFormatting>
  <conditionalFormatting sqref="Q31">
    <cfRule type="cellIs" dxfId="39" priority="8" operator="equal">
      <formula>0</formula>
    </cfRule>
  </conditionalFormatting>
  <conditionalFormatting sqref="P83">
    <cfRule type="cellIs" dxfId="38" priority="6" operator="lessThan">
      <formula>0</formula>
    </cfRule>
    <cfRule type="cellIs" dxfId="37" priority="7" operator="greaterThan">
      <formula>0</formula>
    </cfRule>
  </conditionalFormatting>
  <conditionalFormatting sqref="K80:K82 K84">
    <cfRule type="cellIs" dxfId="36" priority="4" operator="lessThan">
      <formula>0</formula>
    </cfRule>
    <cfRule type="cellIs" dxfId="35" priority="5" operator="greaterThan">
      <formula>0</formula>
    </cfRule>
  </conditionalFormatting>
  <conditionalFormatting sqref="K83">
    <cfRule type="cellIs" dxfId="34" priority="2" operator="lessThan">
      <formula>0</formula>
    </cfRule>
    <cfRule type="cellIs" dxfId="33" priority="3" operator="greaterThan">
      <formula>0</formula>
    </cfRule>
  </conditionalFormatting>
  <conditionalFormatting sqref="J52">
    <cfRule type="cellIs" dxfId="32" priority="1" operator="equal">
      <formula>0</formula>
    </cfRule>
  </conditionalFormatting>
  <dataValidations count="2">
    <dataValidation type="list" allowBlank="1" showInputMessage="1" showErrorMessage="1" sqref="D93:D95" xr:uid="{5EE55265-39DF-4EAD-857E-ECC4C660377A}">
      <formula1>"DA, NE"</formula1>
    </dataValidation>
    <dataValidation type="list" errorStyle="warning" allowBlank="1" showInputMessage="1" showErrorMessage="1" errorTitle="NEPRAVILNA VREDNOST" error="PREVERI VNOS!_x000a__x000a_Dovoljene vrednosti:_x000a_- OSNUTEK_x000a_- PREDLOG_x000a_- POTRJENO" sqref="K5" xr:uid="{0349B302-3732-443B-AC75-BDE411ED33D5}">
      <formula1>"OSNUTEK, PREDLOG, POTRJENO"</formula1>
    </dataValidation>
  </dataValidations>
  <pageMargins left="0.43307086614173229" right="0.43307086614173229" top="0.74803149606299213" bottom="0.74803149606299213" header="0.31496062992125984" footer="0.31496062992125984"/>
  <pageSetup paperSize="9" scale="18" fitToHeight="0" orientation="landscape" r:id="rId1"/>
  <headerFooter>
    <oddHeader>&amp;L&amp;"Arial,Krepko"&amp;20PETROL d.d., Ljubljana
Dunajska 50, 1000 Ljubljana&amp;C&amp;"Arial Black,Navadno"&amp;16OBRAČUN PRIHRANKOV</oddHeader>
    <oddFooter>&amp;L&amp;A&amp;C&amp;P/&amp;N&amp;R&amp;D</oddFooter>
  </headerFooter>
  <legacyDrawing r:id="rId2"/>
  <extLst>
    <ext xmlns:x14="http://schemas.microsoft.com/office/spreadsheetml/2009/9/main" uri="{CCE6A557-97BC-4b89-ADB6-D9C93CAAB3DF}">
      <x14:dataValidations xmlns:xm="http://schemas.microsoft.com/office/excel/2006/main" count="1">
        <x14:dataValidation type="list" showInputMessage="1" showErrorMessage="1" xr:uid="{10D8FF2A-0263-4F60-9659-892A0A758435}">
          <x14:formula1>
            <xm:f>'Osnovni podatki'!$C$6:$C$9</xm:f>
          </x14:formula1>
          <xm:sqref>C3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C34"/>
  <sheetViews>
    <sheetView zoomScaleNormal="100" workbookViewId="0">
      <selection activeCell="G10" sqref="G10"/>
    </sheetView>
  </sheetViews>
  <sheetFormatPr defaultColWidth="9.140625" defaultRowHeight="12.75" x14ac:dyDescent="0.25"/>
  <cols>
    <col min="1" max="1" width="9.140625" style="82"/>
    <col min="2" max="2" width="21.7109375" style="82" bestFit="1" customWidth="1"/>
    <col min="3" max="3" width="40.5703125" style="82" bestFit="1" customWidth="1"/>
    <col min="4" max="16384" width="9.140625" style="82"/>
  </cols>
  <sheetData>
    <row r="2" spans="2:3" ht="20.25" x14ac:dyDescent="0.25">
      <c r="B2" s="37" t="s">
        <v>9</v>
      </c>
      <c r="C2" s="103"/>
    </row>
    <row r="3" spans="2:3" ht="12" customHeight="1" x14ac:dyDescent="0.25">
      <c r="B3" s="37"/>
      <c r="C3" s="103"/>
    </row>
    <row r="4" spans="2:3" ht="12" customHeight="1" x14ac:dyDescent="0.25">
      <c r="B4" s="86" t="s">
        <v>10</v>
      </c>
      <c r="C4" s="103"/>
    </row>
    <row r="5" spans="2:3" ht="12" customHeight="1" x14ac:dyDescent="0.25">
      <c r="B5" s="86"/>
      <c r="C5" s="103"/>
    </row>
    <row r="6" spans="2:3" ht="13.5" thickBot="1" x14ac:dyDescent="0.3">
      <c r="B6" s="103"/>
      <c r="C6" s="103"/>
    </row>
    <row r="7" spans="2:3" ht="12" customHeight="1" x14ac:dyDescent="0.25">
      <c r="B7" s="132" t="s">
        <v>11</v>
      </c>
      <c r="C7" s="133"/>
    </row>
    <row r="8" spans="2:3" ht="12" customHeight="1" x14ac:dyDescent="0.25">
      <c r="B8" s="134" t="s">
        <v>12</v>
      </c>
      <c r="C8" s="135" t="s">
        <v>13</v>
      </c>
    </row>
    <row r="9" spans="2:3" ht="12" customHeight="1" x14ac:dyDescent="0.25">
      <c r="B9" s="134" t="s">
        <v>14</v>
      </c>
      <c r="C9" s="135" t="s">
        <v>15</v>
      </c>
    </row>
    <row r="10" spans="2:3" ht="12" customHeight="1" x14ac:dyDescent="0.25">
      <c r="B10" s="134" t="s">
        <v>16</v>
      </c>
      <c r="C10" s="135" t="s">
        <v>17</v>
      </c>
    </row>
    <row r="11" spans="2:3" ht="12" customHeight="1" x14ac:dyDescent="0.25">
      <c r="B11" s="134" t="s">
        <v>18</v>
      </c>
      <c r="C11" s="135" t="s">
        <v>19</v>
      </c>
    </row>
    <row r="12" spans="2:3" ht="12" customHeight="1" thickBot="1" x14ac:dyDescent="0.3">
      <c r="B12" s="136" t="s">
        <v>20</v>
      </c>
      <c r="C12" s="137" t="s">
        <v>21</v>
      </c>
    </row>
    <row r="14" spans="2:3" ht="12" customHeight="1" x14ac:dyDescent="0.25">
      <c r="B14" s="103" t="s">
        <v>22</v>
      </c>
      <c r="C14" s="103"/>
    </row>
    <row r="15" spans="2:3" ht="12" customHeight="1" x14ac:dyDescent="0.25">
      <c r="B15" s="87" t="s">
        <v>23</v>
      </c>
      <c r="C15" s="103"/>
    </row>
    <row r="16" spans="2:3" ht="12" customHeight="1" x14ac:dyDescent="0.25">
      <c r="B16" s="103" t="s">
        <v>24</v>
      </c>
      <c r="C16" s="103"/>
    </row>
    <row r="17" spans="2:3" ht="12" customHeight="1" x14ac:dyDescent="0.25">
      <c r="B17" s="138" t="s">
        <v>25</v>
      </c>
      <c r="C17" s="103"/>
    </row>
    <row r="18" spans="2:3" ht="12" customHeight="1" x14ac:dyDescent="0.25">
      <c r="B18" s="103" t="s">
        <v>26</v>
      </c>
      <c r="C18" s="103"/>
    </row>
    <row r="19" spans="2:3" ht="12" customHeight="1" x14ac:dyDescent="0.25">
      <c r="B19" s="103"/>
      <c r="C19" s="103"/>
    </row>
    <row r="21" spans="2:3" ht="12" customHeight="1" x14ac:dyDescent="0.25">
      <c r="B21" s="103" t="s">
        <v>27</v>
      </c>
      <c r="C21" s="103"/>
    </row>
    <row r="22" spans="2:3" ht="12" customHeight="1" x14ac:dyDescent="0.25">
      <c r="B22" s="103" t="s">
        <v>28</v>
      </c>
      <c r="C22" s="88" t="s">
        <v>29</v>
      </c>
    </row>
    <row r="23" spans="2:3" ht="12" customHeight="1" x14ac:dyDescent="0.25">
      <c r="B23" s="103" t="s">
        <v>30</v>
      </c>
      <c r="C23" s="88" t="s">
        <v>31</v>
      </c>
    </row>
    <row r="24" spans="2:3" ht="12" customHeight="1" x14ac:dyDescent="0.25">
      <c r="B24" s="103" t="s">
        <v>32</v>
      </c>
      <c r="C24" s="88" t="s">
        <v>33</v>
      </c>
    </row>
    <row r="25" spans="2:3" ht="13.5" thickBot="1" x14ac:dyDescent="0.3">
      <c r="B25" s="103"/>
      <c r="C25" s="103"/>
    </row>
    <row r="26" spans="2:3" ht="12" customHeight="1" x14ac:dyDescent="0.25">
      <c r="B26" s="132" t="s">
        <v>34</v>
      </c>
      <c r="C26" s="133"/>
    </row>
    <row r="27" spans="2:3" ht="12" customHeight="1" x14ac:dyDescent="0.25">
      <c r="B27" s="134" t="s">
        <v>35</v>
      </c>
      <c r="C27" s="135" t="s">
        <v>36</v>
      </c>
    </row>
    <row r="28" spans="2:3" ht="12" customHeight="1" x14ac:dyDescent="0.25">
      <c r="B28" s="134" t="s">
        <v>37</v>
      </c>
      <c r="C28" s="135" t="s">
        <v>38</v>
      </c>
    </row>
    <row r="29" spans="2:3" ht="12" customHeight="1" x14ac:dyDescent="0.25">
      <c r="B29" s="134" t="s">
        <v>39</v>
      </c>
      <c r="C29" s="135" t="s">
        <v>40</v>
      </c>
    </row>
    <row r="30" spans="2:3" ht="12" customHeight="1" x14ac:dyDescent="0.25">
      <c r="B30" s="134" t="s">
        <v>41</v>
      </c>
      <c r="C30" s="135" t="s">
        <v>42</v>
      </c>
    </row>
    <row r="31" spans="2:3" ht="12" customHeight="1" x14ac:dyDescent="0.25">
      <c r="B31" s="134" t="s">
        <v>43</v>
      </c>
      <c r="C31" s="135" t="s">
        <v>44</v>
      </c>
    </row>
    <row r="32" spans="2:3" ht="12" customHeight="1" x14ac:dyDescent="0.25">
      <c r="B32" s="134" t="s">
        <v>45</v>
      </c>
      <c r="C32" s="135" t="s">
        <v>46</v>
      </c>
    </row>
    <row r="33" spans="2:3" ht="12" customHeight="1" x14ac:dyDescent="0.25">
      <c r="B33" s="139" t="s">
        <v>47</v>
      </c>
      <c r="C33" s="140" t="s">
        <v>48</v>
      </c>
    </row>
    <row r="34" spans="2:3" ht="12" customHeight="1" thickBot="1" x14ac:dyDescent="0.3">
      <c r="B34" s="136" t="s">
        <v>49</v>
      </c>
      <c r="C34" s="137" t="s">
        <v>50</v>
      </c>
    </row>
  </sheetData>
  <pageMargins left="0.70866141732283472" right="0.70866141732283472" top="0.74803149606299213" bottom="0.74803149606299213" header="0.31496062992125984" footer="0.31496062992125984"/>
  <pageSetup paperSize="9" scale="90" orientation="landscape" r:id="rId1"/>
  <headerFooter>
    <oddHeader>&amp;LProgram izvajanja koncesije "Celovita energetska prenova 7 objektov UKC LJ"&amp;R&amp;A</oddHeader>
    <oddFooter>&amp;RStran &amp;P / &amp;N</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9F853-241C-4CCE-B5B2-0F562D7CAE25}">
  <sheetPr>
    <tabColor theme="4"/>
    <pageSetUpPr fitToPage="1"/>
  </sheetPr>
  <dimension ref="A1:AP125"/>
  <sheetViews>
    <sheetView topLeftCell="A97" zoomScale="55" zoomScaleNormal="55" zoomScalePageLayoutView="40" workbookViewId="0">
      <selection activeCell="Q76" sqref="Q76"/>
    </sheetView>
  </sheetViews>
  <sheetFormatPr defaultColWidth="9" defaultRowHeight="14.25" customHeight="1" x14ac:dyDescent="0.2"/>
  <cols>
    <col min="1" max="1" width="5.140625" style="248" customWidth="1"/>
    <col min="2" max="2" width="25.7109375" style="248" customWidth="1"/>
    <col min="3" max="4" width="21.140625" style="248" customWidth="1"/>
    <col min="5" max="17" width="20.7109375" style="248" customWidth="1"/>
    <col min="18" max="18" width="19.7109375" style="248" customWidth="1"/>
    <col min="19" max="19" width="20.140625" style="248" customWidth="1"/>
    <col min="20" max="23" width="17.85546875" style="248" customWidth="1"/>
    <col min="24" max="24" width="19.5703125" style="248" customWidth="1"/>
    <col min="25" max="25" width="17.85546875" style="248" customWidth="1"/>
    <col min="26" max="26" width="16.140625" style="248" bestFit="1" customWidth="1"/>
    <col min="27" max="35" width="16.140625" style="248" customWidth="1"/>
    <col min="36" max="36" width="27.5703125" style="248" bestFit="1" customWidth="1"/>
    <col min="37" max="37" width="19.140625" style="248" customWidth="1"/>
    <col min="38" max="38" width="33.7109375" style="248" customWidth="1"/>
    <col min="39" max="39" width="19.85546875" style="248" customWidth="1"/>
    <col min="40" max="16384" width="9" style="248"/>
  </cols>
  <sheetData>
    <row r="1" spans="2:40" ht="44.25" x14ac:dyDescent="0.2">
      <c r="B1" s="244" t="s">
        <v>139</v>
      </c>
      <c r="C1" s="245"/>
      <c r="D1" s="245"/>
      <c r="E1" s="245"/>
      <c r="F1" s="245"/>
      <c r="G1" s="245"/>
      <c r="H1" s="245"/>
      <c r="I1" s="245"/>
      <c r="J1" s="246"/>
      <c r="K1" s="246"/>
      <c r="L1" s="246"/>
      <c r="M1" s="246"/>
      <c r="N1" s="246"/>
      <c r="O1" s="246"/>
      <c r="P1" s="246"/>
      <c r="Q1" s="246"/>
      <c r="R1" s="246"/>
      <c r="S1" s="246"/>
      <c r="T1" s="246"/>
      <c r="U1" s="246"/>
      <c r="V1" s="246"/>
      <c r="W1" s="247"/>
      <c r="X1" s="247"/>
    </row>
    <row r="2" spans="2:40" ht="15" x14ac:dyDescent="0.2">
      <c r="B2" s="245"/>
      <c r="C2" s="245"/>
      <c r="D2" s="245"/>
      <c r="E2" s="245"/>
      <c r="F2" s="245"/>
      <c r="G2" s="245"/>
      <c r="H2" s="245"/>
      <c r="I2" s="245"/>
      <c r="J2" s="246"/>
      <c r="K2" s="246"/>
      <c r="L2" s="246"/>
      <c r="M2" s="246"/>
      <c r="N2" s="246"/>
      <c r="O2" s="246"/>
      <c r="P2" s="246"/>
      <c r="Q2" s="246"/>
      <c r="R2" s="246"/>
      <c r="S2" s="246"/>
      <c r="T2" s="246"/>
      <c r="U2" s="246"/>
      <c r="V2" s="246"/>
      <c r="W2" s="247"/>
      <c r="X2" s="247"/>
    </row>
    <row r="3" spans="2:40" ht="19.5" x14ac:dyDescent="0.2">
      <c r="B3" s="249" t="s">
        <v>140</v>
      </c>
      <c r="C3" s="250" t="s">
        <v>271</v>
      </c>
      <c r="D3" s="251"/>
      <c r="E3" s="251"/>
      <c r="F3" s="251"/>
      <c r="G3" s="252"/>
      <c r="H3" s="251"/>
      <c r="I3" s="251"/>
      <c r="J3" s="1214" t="s">
        <v>142</v>
      </c>
      <c r="K3" s="1215"/>
      <c r="L3" s="1216"/>
      <c r="M3" s="1217"/>
      <c r="N3" s="251"/>
      <c r="O3" s="251"/>
      <c r="P3" s="253" t="s">
        <v>143</v>
      </c>
      <c r="Q3" s="1221"/>
      <c r="R3" s="1222"/>
      <c r="S3" s="1222"/>
      <c r="T3" s="1223"/>
      <c r="U3" s="251"/>
      <c r="V3" s="251"/>
    </row>
    <row r="4" spans="2:40" ht="27" customHeight="1" x14ac:dyDescent="0.2">
      <c r="B4" s="252" t="s">
        <v>144</v>
      </c>
      <c r="C4" s="1227" t="str">
        <f>INDEX('Referenčne količine'!$D7:$G7,MATCH(ObračunOB004!$C$3,'Referenčne količine'!$D$6:$G$6))</f>
        <v>Zdravstveni dom Podpeč</v>
      </c>
      <c r="D4" s="1228"/>
      <c r="E4" s="1228"/>
      <c r="F4" s="1228"/>
      <c r="G4" s="1228"/>
      <c r="H4" s="1229"/>
      <c r="I4" s="251"/>
      <c r="J4" s="1214"/>
      <c r="K4" s="1218"/>
      <c r="L4" s="1219"/>
      <c r="M4" s="1220"/>
      <c r="N4" s="251"/>
      <c r="O4" s="251"/>
      <c r="P4" s="253"/>
      <c r="Q4" s="1224"/>
      <c r="R4" s="1225"/>
      <c r="S4" s="1225"/>
      <c r="T4" s="1226"/>
      <c r="U4" s="251"/>
      <c r="V4" s="251"/>
    </row>
    <row r="5" spans="2:40" ht="24.75" customHeight="1" x14ac:dyDescent="0.2">
      <c r="B5" s="254"/>
      <c r="C5" s="1230"/>
      <c r="D5" s="1231"/>
      <c r="E5" s="1231"/>
      <c r="F5" s="1231"/>
      <c r="G5" s="1231"/>
      <c r="H5" s="1232"/>
      <c r="I5" s="251"/>
      <c r="J5" s="1214" t="s">
        <v>145</v>
      </c>
      <c r="K5" s="1233"/>
      <c r="L5" s="1234"/>
      <c r="M5" s="1235"/>
      <c r="N5" s="251"/>
      <c r="O5" s="251"/>
      <c r="P5" s="253" t="s">
        <v>146</v>
      </c>
      <c r="Q5" s="1239"/>
      <c r="R5" s="1239"/>
      <c r="S5" s="1239"/>
      <c r="T5" s="1239"/>
      <c r="U5" s="251"/>
      <c r="V5" s="251"/>
    </row>
    <row r="6" spans="2:40" ht="45.75" customHeight="1" x14ac:dyDescent="0.2">
      <c r="B6" s="249" t="s">
        <v>147</v>
      </c>
      <c r="C6" s="1240" t="str">
        <f>INDEX('Osnovni podatki'!E6:E9,MATCH(ObračunOB004!$C$3,'Osnovni podatki'!$C$6:$C$9))</f>
        <v>Jezero 1,  
1352 Preserje</v>
      </c>
      <c r="D6" s="1241"/>
      <c r="E6" s="1241"/>
      <c r="F6" s="1241"/>
      <c r="G6" s="1241"/>
      <c r="H6" s="1242"/>
      <c r="I6" s="255"/>
      <c r="J6" s="1214"/>
      <c r="K6" s="1236"/>
      <c r="L6" s="1237"/>
      <c r="M6" s="1238"/>
      <c r="N6" s="255"/>
      <c r="O6" s="255"/>
      <c r="P6" s="253"/>
      <c r="Q6" s="1239"/>
      <c r="R6" s="1239"/>
      <c r="S6" s="1239"/>
      <c r="T6" s="1239"/>
      <c r="U6" s="255"/>
      <c r="V6" s="255"/>
    </row>
    <row r="7" spans="2:40" ht="18" x14ac:dyDescent="0.2">
      <c r="B7" s="256"/>
      <c r="C7" s="247"/>
      <c r="D7" s="247"/>
      <c r="E7" s="247"/>
      <c r="F7" s="247"/>
      <c r="G7" s="247"/>
      <c r="H7" s="247"/>
      <c r="I7" s="245"/>
      <c r="J7" s="247"/>
      <c r="K7" s="247"/>
      <c r="L7" s="247"/>
      <c r="M7" s="247"/>
      <c r="N7" s="246"/>
      <c r="O7" s="247"/>
      <c r="P7" s="253"/>
      <c r="Q7" s="255"/>
      <c r="R7" s="255"/>
      <c r="S7" s="255"/>
      <c r="T7" s="255"/>
      <c r="U7" s="255"/>
      <c r="V7" s="255"/>
    </row>
    <row r="8" spans="2:40" ht="18" customHeight="1" x14ac:dyDescent="0.2">
      <c r="B8" s="257"/>
      <c r="C8" s="247"/>
      <c r="D8" s="247"/>
      <c r="F8" s="247"/>
      <c r="G8" s="247"/>
      <c r="H8" s="247"/>
      <c r="I8" s="245" t="s">
        <v>148</v>
      </c>
      <c r="N8" s="246"/>
      <c r="O8" s="247"/>
      <c r="P8" s="253" t="s">
        <v>149</v>
      </c>
      <c r="Q8" s="1243"/>
      <c r="R8" s="1244"/>
      <c r="S8" s="1244"/>
      <c r="T8" s="1244"/>
      <c r="U8" s="1245"/>
      <c r="V8" s="255"/>
    </row>
    <row r="9" spans="2:40" ht="30.75" thickBot="1" x14ac:dyDescent="0.25">
      <c r="B9" s="258" t="s">
        <v>150</v>
      </c>
      <c r="C9" s="247"/>
      <c r="D9" s="247"/>
      <c r="E9" s="247"/>
      <c r="F9" s="247"/>
      <c r="G9" s="247"/>
      <c r="H9" s="247"/>
      <c r="I9" s="245"/>
      <c r="J9" s="247"/>
      <c r="K9" s="247"/>
      <c r="L9" s="247"/>
      <c r="N9" s="246"/>
      <c r="O9" s="247"/>
      <c r="P9" s="253"/>
      <c r="Q9" s="1246"/>
      <c r="R9" s="1247"/>
      <c r="S9" s="1247"/>
      <c r="T9" s="1247"/>
      <c r="U9" s="1248"/>
      <c r="V9" s="255"/>
      <c r="Y9" s="259"/>
      <c r="Z9" s="259"/>
      <c r="AA9" s="259"/>
      <c r="AB9" s="259"/>
      <c r="AC9" s="259"/>
      <c r="AD9" s="259"/>
      <c r="AE9" s="259"/>
      <c r="AF9" s="259"/>
      <c r="AG9" s="259"/>
      <c r="AH9" s="259"/>
      <c r="AI9" s="259"/>
      <c r="AJ9" s="259"/>
      <c r="AK9" s="260"/>
      <c r="AL9" s="260"/>
      <c r="AM9" s="260"/>
      <c r="AN9" s="260"/>
    </row>
    <row r="10" spans="2:40" ht="45.75" customHeight="1" x14ac:dyDescent="0.2">
      <c r="B10" s="1260"/>
      <c r="C10" s="1252" t="s">
        <v>151</v>
      </c>
      <c r="D10" s="1253"/>
      <c r="E10" s="1254"/>
      <c r="F10" s="1255" t="s">
        <v>152</v>
      </c>
      <c r="G10" s="1256"/>
      <c r="H10" s="1257"/>
      <c r="I10" s="1258" t="s">
        <v>153</v>
      </c>
      <c r="J10" s="1256"/>
      <c r="K10" s="1259"/>
      <c r="L10" s="1255" t="s">
        <v>154</v>
      </c>
      <c r="M10" s="1256"/>
      <c r="N10" s="1259"/>
      <c r="O10" s="247"/>
      <c r="P10" s="261"/>
      <c r="Q10" s="1249"/>
      <c r="R10" s="1250"/>
      <c r="S10" s="1250"/>
      <c r="T10" s="1250"/>
      <c r="U10" s="1251"/>
      <c r="V10" s="255"/>
      <c r="Y10" s="259"/>
      <c r="Z10" s="259"/>
      <c r="AA10" s="259"/>
      <c r="AB10" s="259"/>
      <c r="AC10" s="259"/>
      <c r="AD10" s="259"/>
      <c r="AE10" s="259"/>
      <c r="AF10" s="259"/>
      <c r="AG10" s="259"/>
      <c r="AH10" s="259"/>
      <c r="AI10" s="259"/>
      <c r="AJ10" s="259"/>
      <c r="AK10" s="260"/>
      <c r="AL10" s="260"/>
      <c r="AM10" s="260"/>
      <c r="AN10" s="260"/>
    </row>
    <row r="11" spans="2:40" ht="18" customHeight="1" x14ac:dyDescent="0.2">
      <c r="B11" s="1261"/>
      <c r="C11" s="1263" t="s">
        <v>155</v>
      </c>
      <c r="D11" s="1264"/>
      <c r="E11" s="1265"/>
      <c r="F11" s="1263" t="s">
        <v>155</v>
      </c>
      <c r="G11" s="1264"/>
      <c r="H11" s="1265"/>
      <c r="I11" s="1263" t="s">
        <v>156</v>
      </c>
      <c r="J11" s="1264"/>
      <c r="K11" s="1265"/>
      <c r="L11" s="1263" t="s">
        <v>157</v>
      </c>
      <c r="M11" s="1264"/>
      <c r="N11" s="1265"/>
      <c r="O11" s="247"/>
      <c r="P11" s="261"/>
      <c r="R11" s="255"/>
      <c r="S11" s="255"/>
      <c r="T11" s="255"/>
      <c r="U11" s="255"/>
      <c r="V11" s="255"/>
      <c r="Y11" s="259"/>
      <c r="Z11" s="259"/>
      <c r="AA11" s="259"/>
      <c r="AB11" s="259"/>
      <c r="AC11" s="259"/>
      <c r="AD11" s="259"/>
      <c r="AE11" s="259"/>
      <c r="AF11" s="259"/>
      <c r="AG11" s="259"/>
      <c r="AH11" s="259"/>
      <c r="AI11" s="259"/>
      <c r="AJ11" s="259"/>
      <c r="AK11" s="260"/>
      <c r="AL11" s="260"/>
      <c r="AM11" s="260"/>
      <c r="AN11" s="260"/>
    </row>
    <row r="12" spans="2:40" ht="30.75" customHeight="1" thickBot="1" x14ac:dyDescent="0.25">
      <c r="B12" s="1262"/>
      <c r="C12" s="262" t="s">
        <v>64</v>
      </c>
      <c r="D12" s="263" t="s">
        <v>158</v>
      </c>
      <c r="E12" s="264" t="s">
        <v>102</v>
      </c>
      <c r="F12" s="265" t="s">
        <v>64</v>
      </c>
      <c r="G12" s="263" t="s">
        <v>158</v>
      </c>
      <c r="H12" s="266" t="s">
        <v>102</v>
      </c>
      <c r="I12" s="262" t="s">
        <v>64</v>
      </c>
      <c r="J12" s="263" t="s">
        <v>158</v>
      </c>
      <c r="K12" s="264" t="s">
        <v>102</v>
      </c>
      <c r="L12" s="265" t="s">
        <v>64</v>
      </c>
      <c r="M12" s="263" t="s">
        <v>158</v>
      </c>
      <c r="N12" s="267" t="s">
        <v>159</v>
      </c>
      <c r="O12" s="247"/>
      <c r="P12" s="261"/>
      <c r="R12" s="255"/>
      <c r="S12" s="255"/>
      <c r="T12" s="255"/>
      <c r="U12" s="255"/>
      <c r="V12" s="255"/>
      <c r="Y12" s="259"/>
      <c r="Z12" s="259"/>
      <c r="AA12" s="259"/>
      <c r="AB12" s="259"/>
      <c r="AC12" s="259"/>
      <c r="AD12" s="259"/>
      <c r="AE12" s="259"/>
      <c r="AF12" s="259"/>
      <c r="AG12" s="259"/>
      <c r="AH12" s="259"/>
      <c r="AI12" s="259"/>
      <c r="AJ12" s="259"/>
      <c r="AK12" s="260"/>
      <c r="AL12" s="260"/>
      <c r="AM12" s="260"/>
      <c r="AN12" s="260"/>
    </row>
    <row r="13" spans="2:40" ht="45.75" customHeight="1" x14ac:dyDescent="0.2">
      <c r="B13" s="268" t="s">
        <v>160</v>
      </c>
      <c r="C13" s="269">
        <f ca="1">SUM(H44:I44)</f>
        <v>79734.002433471178</v>
      </c>
      <c r="D13" s="270">
        <f ca="1">M44</f>
        <v>8372.0757180708097</v>
      </c>
      <c r="E13" s="271">
        <f ca="1">D13/I35</f>
        <v>1.0000000217829654</v>
      </c>
      <c r="F13" s="272">
        <f ca="1">SUM(H65:I65)</f>
        <v>79734</v>
      </c>
      <c r="G13" s="270">
        <f ca="1">M65</f>
        <v>8372.08</v>
      </c>
      <c r="H13" s="273">
        <f ca="1">M65/I56</f>
        <v>1</v>
      </c>
      <c r="I13" s="274">
        <f>IFERROR(SUM(G84:H84),0)</f>
        <v>0</v>
      </c>
      <c r="J13" s="270">
        <f ca="1">IFERROR(N84,0)</f>
        <v>0</v>
      </c>
      <c r="K13" s="271" t="e">
        <f ca="1">N84/I56</f>
        <v>#DIV/0!</v>
      </c>
      <c r="L13" s="275">
        <f ca="1">I13-F13</f>
        <v>-79734</v>
      </c>
      <c r="M13" s="276">
        <f ca="1">ROUND(J13-G13,2)</f>
        <v>-8372.08</v>
      </c>
      <c r="N13" s="277" t="str">
        <f ca="1">IF(M13&gt;0,"BONUS",IF(M13&lt;0,"MALUS","-"))</f>
        <v>MALUS</v>
      </c>
      <c r="O13" s="253"/>
      <c r="P13" s="261"/>
      <c r="R13" s="255"/>
      <c r="S13" s="255"/>
      <c r="T13" s="255"/>
      <c r="U13" s="255"/>
      <c r="V13" s="255"/>
      <c r="Y13" s="259"/>
      <c r="Z13" s="259"/>
      <c r="AA13" s="259"/>
      <c r="AB13" s="259"/>
      <c r="AC13" s="259"/>
      <c r="AD13" s="259"/>
      <c r="AE13" s="259"/>
      <c r="AF13" s="259"/>
      <c r="AG13" s="259"/>
      <c r="AH13" s="259"/>
      <c r="AI13" s="259"/>
      <c r="AJ13" s="259"/>
      <c r="AK13" s="260"/>
      <c r="AL13" s="260"/>
      <c r="AM13" s="260"/>
      <c r="AN13" s="260"/>
    </row>
    <row r="14" spans="2:40" ht="45.75" customHeight="1" x14ac:dyDescent="0.2">
      <c r="B14" s="278" t="s">
        <v>161</v>
      </c>
      <c r="C14" s="279">
        <f ca="1">SUM(K96:L96)</f>
        <v>14000</v>
      </c>
      <c r="D14" s="280">
        <f ca="1">O96</f>
        <v>2338</v>
      </c>
      <c r="E14" s="281">
        <f ca="1">O96/G96</f>
        <v>0.4797023104519138</v>
      </c>
      <c r="F14" s="282">
        <f ca="1">SUM(K105:L105)</f>
        <v>29184.766666666666</v>
      </c>
      <c r="G14" s="280">
        <f ca="1">O105</f>
        <v>4873.8560333333335</v>
      </c>
      <c r="H14" s="283">
        <f ca="1">O105/G105</f>
        <v>1</v>
      </c>
      <c r="I14" s="284">
        <f ca="1">IFERROR(SUM(N114:O114),0)</f>
        <v>14000</v>
      </c>
      <c r="J14" s="280">
        <f ca="1">IFERROR(R114,0)</f>
        <v>2338</v>
      </c>
      <c r="K14" s="281">
        <f ca="1">R114/G105</f>
        <v>0.4797023104519138</v>
      </c>
      <c r="L14" s="275">
        <f ca="1">I14-F14</f>
        <v>-15184.766666666666</v>
      </c>
      <c r="M14" s="276">
        <f ca="1">ROUND(J14-G14,2)</f>
        <v>-2535.86</v>
      </c>
      <c r="N14" s="277" t="str">
        <f ca="1">IF(M14&gt;0,"BONUS",IF(M14&lt;0,"MALUS","-"))</f>
        <v>MALUS</v>
      </c>
      <c r="O14" s="253"/>
      <c r="P14" s="261"/>
      <c r="R14" s="255"/>
      <c r="S14" s="255"/>
      <c r="T14" s="255"/>
      <c r="U14" s="255"/>
      <c r="V14" s="255"/>
      <c r="Y14" s="259"/>
      <c r="Z14" s="259"/>
      <c r="AA14" s="259"/>
      <c r="AB14" s="259"/>
      <c r="AC14" s="259"/>
      <c r="AD14" s="259"/>
      <c r="AE14" s="259"/>
      <c r="AF14" s="259"/>
      <c r="AG14" s="259"/>
      <c r="AH14" s="259"/>
      <c r="AI14" s="259"/>
      <c r="AJ14" s="259"/>
      <c r="AK14" s="260"/>
      <c r="AL14" s="260"/>
      <c r="AM14" s="260"/>
      <c r="AN14" s="260"/>
    </row>
    <row r="15" spans="2:40" ht="45.75" customHeight="1" thickBot="1" x14ac:dyDescent="0.25">
      <c r="B15" s="285" t="s">
        <v>162</v>
      </c>
      <c r="C15" s="286">
        <v>0</v>
      </c>
      <c r="D15" s="287">
        <f>E124</f>
        <v>3291</v>
      </c>
      <c r="E15" s="288">
        <f>E124/C124</f>
        <v>1</v>
      </c>
      <c r="F15" s="289">
        <v>0</v>
      </c>
      <c r="G15" s="287">
        <f>L124</f>
        <v>3291</v>
      </c>
      <c r="H15" s="290">
        <f>L124/J123</f>
        <v>1</v>
      </c>
      <c r="I15" s="291">
        <v>0</v>
      </c>
      <c r="J15" s="287">
        <f ca="1">R124</f>
        <v>3291</v>
      </c>
      <c r="K15" s="288">
        <f ca="1">R124/P123</f>
        <v>1</v>
      </c>
      <c r="L15" s="275">
        <f>I15-F15</f>
        <v>0</v>
      </c>
      <c r="M15" s="276">
        <f ca="1">ROUND(J15-G15,2)</f>
        <v>0</v>
      </c>
      <c r="N15" s="277" t="str">
        <f ca="1">IF(M15&gt;0,"BONUS",IF(M15&lt;0,"MALUS","-"))</f>
        <v>-</v>
      </c>
      <c r="O15" s="253"/>
      <c r="P15" s="261"/>
      <c r="R15" s="255"/>
      <c r="S15" s="255"/>
      <c r="T15" s="255"/>
      <c r="U15" s="255"/>
      <c r="V15" s="255"/>
      <c r="Y15" s="259"/>
      <c r="Z15" s="259"/>
      <c r="AA15" s="259"/>
      <c r="AB15" s="259"/>
      <c r="AC15" s="259"/>
      <c r="AD15" s="259"/>
      <c r="AE15" s="259"/>
      <c r="AF15" s="259"/>
      <c r="AG15" s="259"/>
      <c r="AH15" s="259"/>
      <c r="AI15" s="259"/>
      <c r="AJ15" s="259"/>
      <c r="AK15" s="260"/>
      <c r="AL15" s="260"/>
      <c r="AM15" s="260"/>
      <c r="AN15" s="260"/>
    </row>
    <row r="16" spans="2:40" ht="45.75" customHeight="1" thickBot="1" x14ac:dyDescent="0.25">
      <c r="B16" s="292" t="s">
        <v>163</v>
      </c>
      <c r="C16" s="293">
        <f ca="1">SUM(C13:C15)</f>
        <v>93734.002433471178</v>
      </c>
      <c r="D16" s="294">
        <f ca="1">SUM(D13:D15)</f>
        <v>14001.07571807081</v>
      </c>
      <c r="E16" s="295">
        <f ca="1">AVERAGE(E13:E15)</f>
        <v>0.82656744407829308</v>
      </c>
      <c r="F16" s="296">
        <f ca="1">SUM(F13:F15)</f>
        <v>108918.76666666666</v>
      </c>
      <c r="G16" s="294">
        <f ca="1">SUM(G13:G15)</f>
        <v>16536.936033333332</v>
      </c>
      <c r="H16" s="297">
        <f ca="1">AVERAGE(H13:H15)</f>
        <v>1</v>
      </c>
      <c r="I16" s="298">
        <f ca="1">SUM(I13:I15)</f>
        <v>14000</v>
      </c>
      <c r="J16" s="294">
        <f ca="1">SUM(J13:J15)</f>
        <v>5629</v>
      </c>
      <c r="K16" s="295" t="e">
        <f ca="1">AVERAGE(K13:K15)</f>
        <v>#DIV/0!</v>
      </c>
      <c r="L16" s="299">
        <f ca="1">SUM(L13:L15)</f>
        <v>-94918.766666666663</v>
      </c>
      <c r="M16" s="300">
        <f ca="1">SUM(M13:M15)</f>
        <v>-10907.94</v>
      </c>
      <c r="N16" s="301" t="str">
        <f ca="1">IF(M13&gt;0,"BONUS",IF(M13&lt;0,"MALUS","-"))</f>
        <v>MALUS</v>
      </c>
      <c r="O16" s="253"/>
      <c r="P16" s="255"/>
      <c r="Q16" s="255"/>
      <c r="R16" s="255"/>
      <c r="S16" s="255"/>
      <c r="T16" s="255"/>
      <c r="U16" s="255"/>
      <c r="V16" s="255"/>
      <c r="Y16" s="259"/>
      <c r="Z16" s="259"/>
      <c r="AA16" s="259"/>
      <c r="AB16" s="259"/>
      <c r="AC16" s="259"/>
      <c r="AD16" s="259"/>
      <c r="AE16" s="259"/>
      <c r="AF16" s="259"/>
      <c r="AG16" s="259"/>
      <c r="AH16" s="259"/>
      <c r="AI16" s="259"/>
      <c r="AJ16" s="259"/>
      <c r="AK16" s="260"/>
      <c r="AL16" s="260"/>
      <c r="AM16" s="260"/>
      <c r="AN16" s="260"/>
    </row>
    <row r="17" spans="1:40" ht="18" x14ac:dyDescent="0.2">
      <c r="B17" s="256"/>
      <c r="C17" s="247"/>
      <c r="D17" s="247"/>
      <c r="E17" s="247"/>
      <c r="F17" s="247"/>
      <c r="G17" s="247"/>
      <c r="H17" s="247"/>
      <c r="I17" s="245"/>
      <c r="J17" s="247"/>
      <c r="K17" s="247"/>
      <c r="L17" s="247"/>
      <c r="M17" s="247"/>
      <c r="N17" s="246"/>
      <c r="O17" s="247"/>
      <c r="P17" s="255"/>
      <c r="Q17" s="255"/>
      <c r="R17" s="255"/>
      <c r="S17" s="255"/>
      <c r="T17" s="255"/>
      <c r="U17" s="255"/>
      <c r="V17" s="255"/>
      <c r="Y17" s="259"/>
      <c r="Z17" s="259"/>
      <c r="AA17" s="259"/>
      <c r="AB17" s="259"/>
      <c r="AC17" s="259"/>
      <c r="AD17" s="259"/>
      <c r="AE17" s="259"/>
      <c r="AF17" s="259"/>
      <c r="AG17" s="259"/>
      <c r="AH17" s="259"/>
      <c r="AI17" s="259"/>
      <c r="AJ17" s="259"/>
      <c r="AK17" s="260"/>
      <c r="AL17" s="260"/>
      <c r="AM17" s="260"/>
      <c r="AN17" s="260"/>
    </row>
    <row r="18" spans="1:40" ht="18.75" thickBot="1" x14ac:dyDescent="0.25">
      <c r="B18" s="256"/>
      <c r="C18" s="247"/>
      <c r="D18" s="247"/>
      <c r="E18" s="247"/>
      <c r="F18" s="247"/>
      <c r="G18" s="247"/>
      <c r="H18" s="247"/>
      <c r="I18" s="245"/>
      <c r="J18" s="246"/>
      <c r="K18" s="246"/>
      <c r="L18" s="246"/>
      <c r="M18" s="246"/>
      <c r="N18" s="246"/>
      <c r="O18" s="247"/>
      <c r="P18" s="247"/>
      <c r="Q18" s="247"/>
      <c r="R18" s="247"/>
      <c r="S18" s="247"/>
      <c r="T18" s="255"/>
      <c r="U18" s="255"/>
      <c r="V18" s="255"/>
      <c r="Y18" s="259"/>
      <c r="Z18" s="259"/>
      <c r="AA18" s="259"/>
      <c r="AB18" s="259"/>
      <c r="AC18" s="259"/>
      <c r="AD18" s="259"/>
      <c r="AE18" s="259"/>
      <c r="AF18" s="259"/>
      <c r="AG18" s="259"/>
      <c r="AH18" s="259"/>
      <c r="AI18" s="259"/>
      <c r="AJ18" s="259"/>
      <c r="AK18" s="260"/>
      <c r="AL18" s="260"/>
      <c r="AM18" s="260"/>
      <c r="AN18" s="260"/>
    </row>
    <row r="19" spans="1:40" ht="30.75" thickBot="1" x14ac:dyDescent="0.25">
      <c r="B19" s="302" t="s">
        <v>164</v>
      </c>
      <c r="C19" s="303"/>
      <c r="D19" s="303"/>
      <c r="E19" s="303"/>
      <c r="F19" s="303"/>
      <c r="G19" s="303"/>
      <c r="H19" s="303"/>
      <c r="I19" s="303"/>
      <c r="J19" s="303"/>
      <c r="K19" s="303"/>
      <c r="L19" s="303"/>
      <c r="M19" s="303"/>
      <c r="N19" s="303"/>
      <c r="O19" s="303"/>
      <c r="P19" s="303"/>
      <c r="Q19" s="303"/>
      <c r="R19" s="303"/>
      <c r="S19" s="303"/>
      <c r="T19" s="303"/>
      <c r="U19" s="303"/>
      <c r="V19" s="304"/>
      <c r="Y19" s="259"/>
      <c r="Z19" s="259"/>
      <c r="AA19" s="259"/>
      <c r="AB19" s="259"/>
      <c r="AC19" s="259"/>
      <c r="AD19" s="259"/>
      <c r="AE19" s="259"/>
      <c r="AF19" s="259"/>
      <c r="AG19" s="259"/>
      <c r="AH19" s="259"/>
      <c r="AI19" s="259"/>
      <c r="AJ19" s="259"/>
      <c r="AK19" s="260"/>
      <c r="AL19" s="260"/>
      <c r="AM19" s="260"/>
      <c r="AN19" s="260"/>
    </row>
    <row r="20" spans="1:40" ht="30" x14ac:dyDescent="0.2">
      <c r="B20" s="258"/>
      <c r="C20" s="258"/>
      <c r="D20" s="258"/>
      <c r="E20" s="258"/>
      <c r="F20" s="258"/>
      <c r="G20" s="258"/>
      <c r="H20" s="258"/>
      <c r="I20" s="258"/>
      <c r="J20" s="258"/>
      <c r="K20" s="258"/>
      <c r="L20" s="258"/>
      <c r="M20" s="258"/>
      <c r="N20" s="258"/>
      <c r="O20" s="258"/>
      <c r="P20" s="258"/>
      <c r="Q20" s="258"/>
      <c r="R20" s="258"/>
      <c r="S20" s="258"/>
      <c r="T20" s="258"/>
      <c r="U20" s="258"/>
      <c r="V20" s="258"/>
      <c r="Y20" s="259"/>
      <c r="Z20" s="259"/>
      <c r="AA20" s="259"/>
      <c r="AB20" s="259"/>
      <c r="AC20" s="259"/>
      <c r="AD20" s="259"/>
      <c r="AE20" s="259"/>
      <c r="AF20" s="259"/>
      <c r="AG20" s="259"/>
      <c r="AH20" s="259"/>
      <c r="AI20" s="259"/>
      <c r="AJ20" s="259"/>
      <c r="AK20" s="260"/>
      <c r="AL20" s="260"/>
      <c r="AM20" s="260"/>
      <c r="AN20" s="260"/>
    </row>
    <row r="21" spans="1:40" ht="30" x14ac:dyDescent="0.2">
      <c r="B21" s="256"/>
      <c r="C21" s="561" t="s">
        <v>165</v>
      </c>
      <c r="D21" s="247"/>
      <c r="E21" s="247"/>
      <c r="F21" s="247"/>
      <c r="G21" s="247"/>
      <c r="H21" s="247"/>
      <c r="I21" s="245"/>
      <c r="J21" s="246"/>
      <c r="K21" s="246"/>
      <c r="L21" s="246"/>
      <c r="M21" s="246"/>
      <c r="N21" s="246"/>
      <c r="O21" s="247"/>
      <c r="P21" s="247"/>
      <c r="Q21" s="247"/>
      <c r="R21" s="247" t="s">
        <v>466</v>
      </c>
      <c r="S21" s="247"/>
      <c r="T21" s="255"/>
      <c r="U21" s="255"/>
      <c r="V21" s="255"/>
      <c r="Y21" s="259"/>
      <c r="Z21" s="259"/>
      <c r="AA21" s="259"/>
      <c r="AB21" s="259"/>
      <c r="AC21" s="259"/>
      <c r="AD21" s="259"/>
      <c r="AE21" s="259"/>
      <c r="AF21" s="259"/>
      <c r="AG21" s="259"/>
      <c r="AH21" s="259"/>
      <c r="AI21" s="259"/>
      <c r="AJ21" s="259"/>
      <c r="AK21" s="260"/>
      <c r="AL21" s="260"/>
      <c r="AM21" s="260"/>
      <c r="AN21" s="260"/>
    </row>
    <row r="22" spans="1:40" ht="18" x14ac:dyDescent="0.2">
      <c r="B22" s="246"/>
      <c r="C22" s="252" t="s">
        <v>166</v>
      </c>
      <c r="D22" s="1280" t="s">
        <v>464</v>
      </c>
      <c r="E22" s="1281"/>
      <c r="F22" s="251"/>
      <c r="G22" s="246"/>
      <c r="H22" s="252" t="s">
        <v>167</v>
      </c>
      <c r="I22" s="1280" t="s">
        <v>464</v>
      </c>
      <c r="J22" s="1281"/>
      <c r="K22" s="251"/>
      <c r="M22" s="252" t="s">
        <v>168</v>
      </c>
      <c r="N22" s="1280"/>
      <c r="O22" s="1281"/>
      <c r="P22" s="247"/>
      <c r="Q22" s="247"/>
      <c r="S22" s="305" t="s">
        <v>136</v>
      </c>
      <c r="T22" s="123"/>
      <c r="U22" s="306">
        <v>1</v>
      </c>
      <c r="V22" s="255"/>
      <c r="Y22" s="259"/>
      <c r="Z22" s="259"/>
      <c r="AA22" s="259"/>
      <c r="AB22" s="259"/>
      <c r="AC22" s="259"/>
      <c r="AD22" s="259"/>
      <c r="AE22" s="259"/>
      <c r="AF22" s="259"/>
      <c r="AG22" s="259"/>
      <c r="AH22" s="259"/>
      <c r="AI22" s="259"/>
      <c r="AJ22" s="259"/>
      <c r="AK22" s="260"/>
      <c r="AL22" s="260"/>
      <c r="AM22" s="260"/>
      <c r="AN22" s="260"/>
    </row>
    <row r="23" spans="1:40" ht="18" x14ac:dyDescent="0.2">
      <c r="B23" s="246"/>
      <c r="C23" s="252" t="s">
        <v>169</v>
      </c>
      <c r="D23" s="1280" t="s">
        <v>328</v>
      </c>
      <c r="E23" s="1281"/>
      <c r="F23" s="251"/>
      <c r="G23" s="246"/>
      <c r="H23" s="252" t="s">
        <v>170</v>
      </c>
      <c r="I23" s="1282">
        <f>D24</f>
        <v>2745.1</v>
      </c>
      <c r="J23" s="1283"/>
      <c r="K23" s="251"/>
      <c r="L23" s="246"/>
      <c r="M23" s="252" t="s">
        <v>171</v>
      </c>
      <c r="N23" s="1284">
        <f>I23</f>
        <v>2745.1</v>
      </c>
      <c r="O23" s="1285"/>
      <c r="P23" s="247"/>
      <c r="Q23" s="247"/>
      <c r="R23" s="247"/>
      <c r="S23" s="305" t="s">
        <v>137</v>
      </c>
      <c r="T23" s="123"/>
      <c r="U23" s="307">
        <v>1</v>
      </c>
      <c r="V23" s="255"/>
      <c r="Y23" s="259"/>
      <c r="Z23" s="259"/>
      <c r="AA23" s="259"/>
      <c r="AB23" s="259"/>
      <c r="AC23" s="259"/>
      <c r="AD23" s="259"/>
      <c r="AE23" s="259"/>
      <c r="AF23" s="259"/>
      <c r="AG23" s="259"/>
      <c r="AH23" s="259"/>
      <c r="AI23" s="259"/>
      <c r="AJ23" s="259"/>
      <c r="AK23" s="260"/>
      <c r="AL23" s="260"/>
      <c r="AM23" s="260"/>
      <c r="AN23" s="260"/>
    </row>
    <row r="24" spans="1:40" ht="18.75" thickBot="1" x14ac:dyDescent="0.25">
      <c r="B24" s="246"/>
      <c r="C24" s="252" t="s">
        <v>172</v>
      </c>
      <c r="D24" s="1266">
        <v>2745.1</v>
      </c>
      <c r="E24" s="1267"/>
      <c r="F24" s="251"/>
      <c r="G24" s="246"/>
      <c r="H24" s="252" t="s">
        <v>329</v>
      </c>
      <c r="I24" s="308">
        <f>IFERROR(I23/D24,"-")</f>
        <v>1</v>
      </c>
      <c r="J24" s="309"/>
      <c r="K24" s="251"/>
      <c r="L24" s="246"/>
      <c r="M24" s="252" t="s">
        <v>173</v>
      </c>
      <c r="N24" s="308">
        <f>I23/N23</f>
        <v>1</v>
      </c>
      <c r="O24" s="310"/>
      <c r="P24" s="247"/>
      <c r="Q24" s="247"/>
      <c r="R24" s="247"/>
      <c r="S24" s="311" t="s">
        <v>138</v>
      </c>
      <c r="T24" s="312"/>
      <c r="U24" s="313">
        <f>U22/U23</f>
        <v>1</v>
      </c>
      <c r="V24" s="255"/>
      <c r="Y24" s="259"/>
      <c r="Z24" s="259"/>
      <c r="AA24" s="259"/>
      <c r="AB24" s="259"/>
      <c r="AC24" s="259"/>
      <c r="AD24" s="259"/>
      <c r="AE24" s="259"/>
      <c r="AF24" s="259"/>
      <c r="AG24" s="259"/>
      <c r="AH24" s="259"/>
      <c r="AI24" s="259"/>
      <c r="AJ24" s="259"/>
      <c r="AK24" s="260"/>
      <c r="AL24" s="260"/>
      <c r="AM24" s="260"/>
      <c r="AN24" s="260"/>
    </row>
    <row r="25" spans="1:40" ht="18.75" thickBot="1" x14ac:dyDescent="0.25">
      <c r="B25" s="256"/>
      <c r="C25" s="247"/>
      <c r="D25" s="247"/>
      <c r="E25" s="247"/>
      <c r="F25" s="247"/>
      <c r="G25" s="247"/>
      <c r="H25" s="247"/>
      <c r="I25" s="245"/>
      <c r="J25" s="246"/>
      <c r="K25" s="246"/>
      <c r="L25" s="246"/>
      <c r="M25" s="246"/>
      <c r="N25" s="246"/>
      <c r="O25" s="247"/>
      <c r="P25" s="247"/>
      <c r="Q25" s="247"/>
      <c r="R25" s="247"/>
      <c r="S25" s="247"/>
      <c r="T25" s="255"/>
      <c r="U25" s="255"/>
      <c r="V25" s="255"/>
      <c r="Y25" s="259"/>
      <c r="Z25" s="259"/>
      <c r="AA25" s="259"/>
      <c r="AB25" s="259"/>
      <c r="AC25" s="259"/>
      <c r="AD25" s="259"/>
      <c r="AE25" s="259"/>
      <c r="AF25" s="259"/>
      <c r="AG25" s="259"/>
      <c r="AH25" s="259"/>
      <c r="AI25" s="259"/>
      <c r="AJ25" s="259"/>
      <c r="AK25" s="260"/>
      <c r="AL25" s="260"/>
      <c r="AM25" s="260"/>
      <c r="AN25" s="260"/>
    </row>
    <row r="26" spans="1:40" ht="36.75" customHeight="1" thickBot="1" x14ac:dyDescent="0.25">
      <c r="A26" s="314"/>
      <c r="B26" s="315" t="s">
        <v>174</v>
      </c>
      <c r="C26" s="315"/>
      <c r="D26" s="315"/>
      <c r="E26" s="315"/>
      <c r="F26" s="315"/>
      <c r="G26" s="315"/>
      <c r="H26" s="315"/>
      <c r="I26" s="315"/>
      <c r="J26" s="316"/>
      <c r="K26" s="316"/>
      <c r="L26" s="316"/>
      <c r="M26" s="316"/>
      <c r="N26" s="316"/>
      <c r="O26" s="316"/>
      <c r="P26" s="316"/>
      <c r="Q26" s="317"/>
      <c r="R26" s="259"/>
      <c r="S26" s="259"/>
      <c r="T26" s="259"/>
      <c r="U26" s="259"/>
      <c r="AD26" s="259"/>
      <c r="AE26" s="259"/>
      <c r="AF26" s="259"/>
      <c r="AG26" s="259"/>
      <c r="AH26" s="259"/>
      <c r="AI26" s="259"/>
      <c r="AJ26" s="259"/>
      <c r="AK26" s="260"/>
      <c r="AL26" s="260"/>
      <c r="AM26" s="260"/>
      <c r="AN26" s="260"/>
    </row>
    <row r="27" spans="1:40" ht="14.25" customHeight="1" x14ac:dyDescent="0.2">
      <c r="A27" s="314"/>
      <c r="B27" s="1268" t="s">
        <v>175</v>
      </c>
      <c r="C27" s="1271" t="s">
        <v>176</v>
      </c>
      <c r="D27" s="1272"/>
      <c r="E27" s="1268" t="s">
        <v>288</v>
      </c>
      <c r="F27" s="1277" t="s">
        <v>327</v>
      </c>
      <c r="G27" s="1277" t="s">
        <v>326</v>
      </c>
      <c r="H27" s="1277" t="s">
        <v>386</v>
      </c>
      <c r="I27" s="1286" t="s">
        <v>385</v>
      </c>
      <c r="J27" s="979" t="s">
        <v>415</v>
      </c>
      <c r="K27" s="980"/>
      <c r="L27" s="969" t="s">
        <v>399</v>
      </c>
      <c r="M27" s="970"/>
      <c r="N27" s="970"/>
      <c r="O27" s="970"/>
      <c r="P27" s="970"/>
      <c r="Q27" s="971"/>
      <c r="R27" s="259"/>
      <c r="S27" s="259"/>
      <c r="T27" s="259"/>
      <c r="U27" s="259"/>
      <c r="AD27" s="259"/>
      <c r="AE27" s="259"/>
      <c r="AF27" s="259"/>
      <c r="AG27" s="259"/>
      <c r="AH27" s="259"/>
      <c r="AI27" s="259"/>
      <c r="AJ27" s="259"/>
      <c r="AK27" s="260"/>
      <c r="AL27" s="260"/>
      <c r="AM27" s="260"/>
      <c r="AN27" s="260"/>
    </row>
    <row r="28" spans="1:40" ht="14.25" customHeight="1" thickBot="1" x14ac:dyDescent="0.25">
      <c r="A28" s="314"/>
      <c r="B28" s="1269"/>
      <c r="C28" s="1273"/>
      <c r="D28" s="1274"/>
      <c r="E28" s="1269"/>
      <c r="F28" s="1278"/>
      <c r="G28" s="1278"/>
      <c r="H28" s="1278"/>
      <c r="I28" s="1287"/>
      <c r="J28" s="981" t="s">
        <v>416</v>
      </c>
      <c r="K28" s="948"/>
      <c r="L28" s="961" t="s">
        <v>177</v>
      </c>
      <c r="M28" s="962"/>
      <c r="N28" s="963" t="s">
        <v>178</v>
      </c>
      <c r="O28" s="964"/>
      <c r="P28" s="1190" t="s">
        <v>163</v>
      </c>
      <c r="Q28" s="1191"/>
      <c r="R28" s="259"/>
      <c r="S28" s="259"/>
      <c r="T28" s="259"/>
      <c r="U28" s="259"/>
      <c r="AD28" s="259"/>
      <c r="AE28" s="259"/>
      <c r="AF28" s="259"/>
      <c r="AG28" s="259"/>
      <c r="AH28" s="259"/>
      <c r="AI28" s="259"/>
      <c r="AJ28" s="259"/>
      <c r="AK28" s="260"/>
      <c r="AL28" s="260"/>
      <c r="AM28" s="260"/>
      <c r="AN28" s="260"/>
    </row>
    <row r="29" spans="1:40" ht="38.25" x14ac:dyDescent="0.2">
      <c r="A29" s="314"/>
      <c r="B29" s="1270"/>
      <c r="C29" s="1275"/>
      <c r="D29" s="1276"/>
      <c r="E29" s="1270"/>
      <c r="F29" s="1279"/>
      <c r="G29" s="1279"/>
      <c r="H29" s="1279"/>
      <c r="I29" s="1288"/>
      <c r="J29" s="953" t="s">
        <v>330</v>
      </c>
      <c r="K29" s="337" t="s">
        <v>331</v>
      </c>
      <c r="L29" s="956" t="s">
        <v>179</v>
      </c>
      <c r="M29" s="957" t="s">
        <v>180</v>
      </c>
      <c r="N29" s="958" t="s">
        <v>179</v>
      </c>
      <c r="O29" s="959" t="s">
        <v>181</v>
      </c>
      <c r="P29" s="960" t="s">
        <v>179</v>
      </c>
      <c r="Q29" s="960" t="s">
        <v>335</v>
      </c>
      <c r="R29" s="259"/>
      <c r="S29" s="259"/>
      <c r="T29" s="259"/>
      <c r="U29" s="259"/>
      <c r="AD29" s="259"/>
      <c r="AE29" s="259"/>
      <c r="AF29" s="259"/>
      <c r="AG29" s="259"/>
      <c r="AH29" s="259"/>
      <c r="AI29" s="259"/>
      <c r="AJ29" s="259"/>
      <c r="AK29" s="260"/>
      <c r="AL29" s="260"/>
      <c r="AM29" s="260"/>
      <c r="AN29" s="260"/>
    </row>
    <row r="30" spans="1:40" ht="15" customHeight="1" thickBot="1" x14ac:dyDescent="0.25">
      <c r="A30" s="314"/>
      <c r="B30" s="322"/>
      <c r="C30" s="1200"/>
      <c r="D30" s="1201"/>
      <c r="E30" s="323" t="s">
        <v>64</v>
      </c>
      <c r="F30" s="324" t="s">
        <v>182</v>
      </c>
      <c r="G30" s="324" t="s">
        <v>64</v>
      </c>
      <c r="H30" s="324" t="s">
        <v>183</v>
      </c>
      <c r="I30" s="951" t="s">
        <v>158</v>
      </c>
      <c r="J30" s="954" t="s">
        <v>183</v>
      </c>
      <c r="K30" s="1083" t="s">
        <v>64</v>
      </c>
      <c r="L30" s="780" t="s">
        <v>64</v>
      </c>
      <c r="M30" s="784" t="s">
        <v>183</v>
      </c>
      <c r="N30" s="782" t="s">
        <v>64</v>
      </c>
      <c r="O30" s="785" t="s">
        <v>183</v>
      </c>
      <c r="P30" s="788" t="s">
        <v>64</v>
      </c>
      <c r="Q30" s="788" t="s">
        <v>68</v>
      </c>
      <c r="R30" s="259"/>
      <c r="S30" s="259"/>
      <c r="T30" s="259"/>
      <c r="U30" s="259"/>
      <c r="AD30" s="259"/>
      <c r="AE30" s="259"/>
      <c r="AF30" s="259"/>
      <c r="AG30" s="259"/>
      <c r="AH30" s="259"/>
      <c r="AI30" s="259"/>
      <c r="AJ30" s="259"/>
      <c r="AK30" s="260"/>
      <c r="AL30" s="260"/>
      <c r="AM30" s="260"/>
      <c r="AN30" s="260"/>
    </row>
    <row r="31" spans="1:40" ht="45.6" customHeight="1" x14ac:dyDescent="0.2">
      <c r="A31" s="314"/>
      <c r="B31" s="325" t="s">
        <v>184</v>
      </c>
      <c r="C31" s="1195" t="s">
        <v>185</v>
      </c>
      <c r="D31" s="1196"/>
      <c r="E31" s="424">
        <f>INDEX('Referenčne količine'!$D28:$G28,MATCH(ObračunOB004!$C$3,'Referenčne količine'!$D$6:$G$6))</f>
        <v>56227.46</v>
      </c>
      <c r="F31" s="1208">
        <f>INDEX('Referenčne količine'!$D33:$G33,MATCH(ObračunOB004!$C$3,'Referenčne količine'!$D$6:$G$6))/1000</f>
        <v>0.12804981263729162</v>
      </c>
      <c r="G31" s="977">
        <f>INDEX('Referenčne količine'!$D21:$G21,MATCH(ObračunOB004!$C$3,'Referenčne količine'!$D$6:$G$6))</f>
        <v>68570.582639552915</v>
      </c>
      <c r="H31" s="1211">
        <f>INDEX('Referenčne količine'!$D32:$G32,MATCH(ObračunOB004!$C$3,'Referenčne količine'!$D$6:$G$6))/1000</f>
        <v>0.1050000662225342</v>
      </c>
      <c r="I31" s="1024">
        <f>G31*$H$31</f>
        <v>7199.9157180708098</v>
      </c>
      <c r="J31" s="1292" t="e">
        <f ca="1">ROUND(Q35/K35,6)</f>
        <v>#DIV/0!</v>
      </c>
      <c r="K31" s="965" cm="1">
        <f t="array" aca="1" ref="K31" ca="1">ROUND(INDIRECT($C$3&amp;"!J87"),0)</f>
        <v>0</v>
      </c>
      <c r="L31" s="982" cm="1">
        <f t="array" aca="1" ref="L31" ca="1">ROUND(INDIRECT($C$3&amp;"!J84"),0)</f>
        <v>0</v>
      </c>
      <c r="M31" s="1192" cm="1">
        <f t="array" aca="1" ref="M31" ca="1">ROUND(INDIRECT($C$3&amp;"!e62")/1000,6)</f>
        <v>0.16700000000000001</v>
      </c>
      <c r="N31" s="985" cm="1">
        <f t="array" aca="1" ref="N31" ca="1">ROUND(INDIRECT($C$3&amp;"!J83"),0)</f>
        <v>0</v>
      </c>
      <c r="O31" s="1197" cm="1">
        <f t="array" aca="1" ref="O31" ca="1">ROUND(INDIRECT($C$3&amp;"!e61")/1000,6)</f>
        <v>0.105</v>
      </c>
      <c r="P31" s="989">
        <f ca="1">L31+N31</f>
        <v>0</v>
      </c>
      <c r="Q31" s="791">
        <f ca="1">L31*$M$31+N31*$O$31</f>
        <v>0</v>
      </c>
      <c r="R31" s="259"/>
      <c r="S31" s="259"/>
      <c r="T31" s="259"/>
      <c r="U31" s="259"/>
      <c r="AD31" s="259"/>
      <c r="AE31" s="259"/>
      <c r="AF31" s="259"/>
      <c r="AG31" s="259"/>
      <c r="AH31" s="259"/>
      <c r="AI31" s="259"/>
      <c r="AJ31" s="259"/>
      <c r="AK31" s="260"/>
      <c r="AL31" s="260"/>
      <c r="AM31" s="260"/>
      <c r="AN31" s="260"/>
    </row>
    <row r="32" spans="1:40" ht="45.6" customHeight="1" x14ac:dyDescent="0.2">
      <c r="A32" s="314"/>
      <c r="B32" s="325" t="s">
        <v>184</v>
      </c>
      <c r="C32" s="1195" t="s">
        <v>186</v>
      </c>
      <c r="D32" s="1196"/>
      <c r="E32" s="326">
        <f>INDEX('Referenčne količine'!$D29:$G29,MATCH(ObračunOB004!$C$3,'Referenčne količine'!$D$6:$G$6))</f>
        <v>0</v>
      </c>
      <c r="F32" s="1209">
        <f>INDEX('Referenčne količine'!$D29:$G29,MATCH(ObračunOB004!$C$3,'Referenčne količine'!$D$6:$G$6))</f>
        <v>0</v>
      </c>
      <c r="G32" s="327">
        <f>INDEX('Referenčne količine'!$D22:$G22,MATCH(ObračunOB004!$C$3,'Referenčne količine'!$D$6:$G$6))</f>
        <v>0</v>
      </c>
      <c r="H32" s="1212"/>
      <c r="I32" s="1025">
        <f t="shared" ref="I32:I33" si="0">G32*$H$31</f>
        <v>0</v>
      </c>
      <c r="J32" s="1293"/>
      <c r="K32" s="966" cm="1">
        <f t="array" aca="1" ref="K32" ca="1">ROUND(INDIRECT($C$3&amp;"!k87"),0)</f>
        <v>0</v>
      </c>
      <c r="L32" s="983" cm="1">
        <f t="array" aca="1" ref="L32" ca="1">ROUND(INDIRECT($C$3&amp;"!K84"),0)</f>
        <v>0</v>
      </c>
      <c r="M32" s="1193"/>
      <c r="N32" s="986" cm="1">
        <f t="array" aca="1" ref="N32" ca="1">ROUND(INDIRECT($C$3&amp;"!K83"),0)</f>
        <v>0</v>
      </c>
      <c r="O32" s="1198"/>
      <c r="P32" s="990">
        <f t="shared" ref="P32:P33" ca="1" si="1">L32+N32</f>
        <v>0</v>
      </c>
      <c r="Q32" s="792">
        <f ca="1">L32*$M$31+N32*$O$31</f>
        <v>0</v>
      </c>
      <c r="R32" s="329"/>
      <c r="S32" s="329"/>
      <c r="T32" s="329"/>
      <c r="U32" s="329"/>
      <c r="AD32" s="329"/>
      <c r="AE32" s="329"/>
      <c r="AF32" s="329"/>
      <c r="AG32" s="329"/>
      <c r="AH32" s="329"/>
      <c r="AI32" s="329"/>
      <c r="AJ32" s="259"/>
      <c r="AK32" s="260"/>
      <c r="AL32" s="260"/>
      <c r="AM32" s="260"/>
      <c r="AN32" s="260"/>
    </row>
    <row r="33" spans="1:42" ht="45.6" customHeight="1" x14ac:dyDescent="0.2">
      <c r="A33" s="314"/>
      <c r="B33" s="726" t="s">
        <v>187</v>
      </c>
      <c r="C33" s="1195" t="s">
        <v>384</v>
      </c>
      <c r="D33" s="1196"/>
      <c r="E33" s="326">
        <f>INDEX('Referenčne količine'!$D30:$G30,MATCH(ObračunOB004!$C$3,'Referenčne količine'!$D$6:$G$6))</f>
        <v>9153.9362181776614</v>
      </c>
      <c r="F33" s="1209">
        <f>INDEX('Referenčne količine'!$D30:$G30,MATCH(ObračunOB004!$C$3,'Referenčne količine'!$D$6:$G$6))</f>
        <v>9153.9362181776614</v>
      </c>
      <c r="G33" s="327">
        <f>INDEX('Referenčne količine'!$D23:$G23,MATCH(ObračunOB004!$C$3,'Referenčne količine'!$D$6:$G$6))</f>
        <v>11163.41979391827</v>
      </c>
      <c r="H33" s="1212"/>
      <c r="I33" s="1025">
        <f t="shared" si="0"/>
        <v>1172.1598176313676</v>
      </c>
      <c r="J33" s="1293"/>
      <c r="K33" s="966" cm="1">
        <f t="array" aca="1" ref="K33" ca="1">ROUND(INDIRECT($C$3&amp;"!L87"),0)</f>
        <v>0</v>
      </c>
      <c r="L33" s="983" cm="1">
        <f t="array" aca="1" ref="L33" ca="1">ROUND(INDIRECT($C$3&amp;"!L84"),0)</f>
        <v>0</v>
      </c>
      <c r="M33" s="1193"/>
      <c r="N33" s="986" cm="1">
        <f t="array" aca="1" ref="N33" ca="1">ROUND(INDIRECT($C$3&amp;"!L83"),0)</f>
        <v>0</v>
      </c>
      <c r="O33" s="1198"/>
      <c r="P33" s="990">
        <f t="shared" ca="1" si="1"/>
        <v>0</v>
      </c>
      <c r="Q33" s="792">
        <f ca="1">L33*$M$31+N33*$O$31</f>
        <v>0</v>
      </c>
      <c r="R33" s="259"/>
      <c r="S33" s="259"/>
      <c r="T33" s="259"/>
      <c r="U33" s="259"/>
      <c r="AD33" s="259"/>
      <c r="AE33" s="259"/>
      <c r="AF33" s="259"/>
      <c r="AG33" s="259"/>
      <c r="AH33" s="259"/>
      <c r="AI33" s="259"/>
      <c r="AJ33" s="259"/>
      <c r="AK33" s="260"/>
      <c r="AL33" s="260"/>
      <c r="AM33" s="260"/>
      <c r="AN33" s="260"/>
    </row>
    <row r="34" spans="1:42" ht="45.6" customHeight="1" thickBot="1" x14ac:dyDescent="0.25">
      <c r="A34" s="314"/>
      <c r="B34" s="725"/>
      <c r="C34" s="1206"/>
      <c r="D34" s="1207"/>
      <c r="E34" s="724"/>
      <c r="F34" s="1210">
        <f>INDEX('Referenčne količine'!$D31:$G31,MATCH(ObračunOB004!$C$3,'Referenčne količine'!$D$6:$G$6))</f>
        <v>0</v>
      </c>
      <c r="G34" s="978"/>
      <c r="H34" s="1213"/>
      <c r="I34" s="1026"/>
      <c r="J34" s="1294"/>
      <c r="K34" s="967"/>
      <c r="L34" s="984"/>
      <c r="M34" s="1194"/>
      <c r="N34" s="987"/>
      <c r="O34" s="1199"/>
      <c r="P34" s="991"/>
      <c r="Q34" s="793"/>
      <c r="R34" s="259"/>
      <c r="S34" s="259"/>
      <c r="T34" s="259"/>
      <c r="U34" s="259"/>
      <c r="AD34" s="259"/>
      <c r="AE34" s="259"/>
      <c r="AF34" s="259"/>
      <c r="AG34" s="259"/>
      <c r="AH34" s="259"/>
      <c r="AI34" s="259"/>
      <c r="AJ34" s="259"/>
      <c r="AK34" s="260"/>
      <c r="AL34" s="260"/>
      <c r="AM34" s="260"/>
      <c r="AN34" s="260"/>
    </row>
    <row r="35" spans="1:42" ht="34.5" customHeight="1" thickBot="1" x14ac:dyDescent="0.25">
      <c r="A35" s="314"/>
      <c r="B35" s="1203" t="s">
        <v>163</v>
      </c>
      <c r="C35" s="1204"/>
      <c r="D35" s="1205"/>
      <c r="E35" s="330">
        <f>SUM(E31:E34)</f>
        <v>65381.396218177659</v>
      </c>
      <c r="F35" s="331"/>
      <c r="G35" s="332">
        <f>SUM(G31:G34)</f>
        <v>79734.002433471178</v>
      </c>
      <c r="H35" s="333"/>
      <c r="I35" s="952">
        <f>SUM(I31:I34)</f>
        <v>8372.0755357021771</v>
      </c>
      <c r="J35" s="955"/>
      <c r="K35" s="968">
        <f ca="1">SUM(K31:K34)</f>
        <v>0</v>
      </c>
      <c r="L35" s="781">
        <f ca="1">SUM(L31:L34)</f>
        <v>0</v>
      </c>
      <c r="M35" s="786"/>
      <c r="N35" s="988">
        <f ca="1">SUM(N31:N34)</f>
        <v>0</v>
      </c>
      <c r="O35" s="787"/>
      <c r="P35" s="789">
        <f ca="1">SUM(P31:P34)</f>
        <v>0</v>
      </c>
      <c r="Q35" s="790">
        <f ca="1">SUM(Q31:Q34)</f>
        <v>0</v>
      </c>
      <c r="R35" s="259"/>
      <c r="S35" s="259"/>
      <c r="T35" s="259"/>
      <c r="U35" s="259"/>
      <c r="AD35" s="259"/>
      <c r="AE35" s="259"/>
      <c r="AF35" s="259"/>
      <c r="AG35" s="259"/>
      <c r="AH35" s="259"/>
      <c r="AI35" s="259"/>
      <c r="AJ35" s="259"/>
      <c r="AK35" s="260"/>
      <c r="AL35" s="260"/>
      <c r="AM35" s="260"/>
      <c r="AN35" s="260"/>
    </row>
    <row r="36" spans="1:42" ht="18.75" thickBot="1" x14ac:dyDescent="0.25">
      <c r="B36" s="256"/>
      <c r="C36" s="247"/>
      <c r="D36" s="247"/>
      <c r="E36" s="247"/>
      <c r="F36" s="247"/>
      <c r="G36" s="247"/>
      <c r="H36" s="247"/>
      <c r="I36" s="245"/>
      <c r="J36" s="246"/>
      <c r="K36" s="246"/>
      <c r="L36" s="246"/>
      <c r="M36" s="246"/>
      <c r="N36" s="246"/>
      <c r="O36" s="247"/>
      <c r="P36" s="247"/>
      <c r="Q36" s="247"/>
      <c r="R36" s="247"/>
      <c r="S36" s="247"/>
      <c r="T36" s="255"/>
      <c r="U36" s="255"/>
      <c r="V36" s="255"/>
      <c r="Y36" s="259"/>
      <c r="Z36" s="259"/>
      <c r="AA36" s="259"/>
      <c r="AB36" s="259"/>
      <c r="AC36" s="259"/>
      <c r="AD36" s="259"/>
      <c r="AE36" s="259"/>
      <c r="AF36" s="259"/>
      <c r="AG36" s="259"/>
      <c r="AH36" s="259"/>
      <c r="AI36" s="259"/>
      <c r="AJ36" s="259"/>
      <c r="AK36" s="260"/>
      <c r="AL36" s="260"/>
      <c r="AM36" s="260"/>
      <c r="AN36" s="260"/>
    </row>
    <row r="37" spans="1:42" ht="18" customHeight="1" thickBot="1" x14ac:dyDescent="0.25">
      <c r="A37" s="314"/>
      <c r="B37" s="1307" t="s">
        <v>175</v>
      </c>
      <c r="C37" s="1271" t="s">
        <v>176</v>
      </c>
      <c r="D37" s="1272"/>
      <c r="E37" s="748" t="s">
        <v>417</v>
      </c>
      <c r="F37" s="949"/>
      <c r="G37" s="949"/>
      <c r="H37" s="949"/>
      <c r="I37" s="949"/>
      <c r="J37" s="949"/>
      <c r="K37" s="949"/>
      <c r="L37" s="949"/>
      <c r="M37" s="950"/>
      <c r="S37" s="255"/>
      <c r="T37" s="255"/>
      <c r="U37" s="255"/>
      <c r="V37" s="255"/>
      <c r="Y37" s="259"/>
      <c r="Z37" s="259"/>
      <c r="AA37" s="259"/>
      <c r="AB37" s="259"/>
      <c r="AC37" s="259"/>
      <c r="AD37" s="259"/>
      <c r="AE37" s="259"/>
      <c r="AF37" s="259"/>
      <c r="AG37" s="259"/>
      <c r="AH37" s="259"/>
      <c r="AI37" s="259"/>
      <c r="AJ37" s="259"/>
      <c r="AK37" s="260"/>
      <c r="AL37" s="260"/>
      <c r="AM37" s="260"/>
      <c r="AN37" s="260"/>
    </row>
    <row r="38" spans="1:42" ht="38.25" x14ac:dyDescent="0.2">
      <c r="A38" s="314"/>
      <c r="B38" s="1308"/>
      <c r="C38" s="1275"/>
      <c r="D38" s="1276"/>
      <c r="E38" s="338" t="s">
        <v>400</v>
      </c>
      <c r="F38" s="336" t="s">
        <v>401</v>
      </c>
      <c r="G38" s="337" t="s">
        <v>402</v>
      </c>
      <c r="H38" s="338" t="s">
        <v>190</v>
      </c>
      <c r="I38" s="336" t="s">
        <v>191</v>
      </c>
      <c r="J38" s="339" t="s">
        <v>192</v>
      </c>
      <c r="K38" s="340" t="s">
        <v>193</v>
      </c>
      <c r="L38" s="337" t="s">
        <v>194</v>
      </c>
      <c r="M38" s="341" t="s">
        <v>195</v>
      </c>
      <c r="S38" s="255"/>
      <c r="T38" s="255"/>
      <c r="U38" s="255"/>
      <c r="V38" s="255"/>
      <c r="W38" s="255"/>
      <c r="X38" s="255"/>
      <c r="AJ38" s="259"/>
      <c r="AK38" s="259"/>
      <c r="AL38" s="259"/>
      <c r="AM38" s="260"/>
      <c r="AN38" s="260"/>
      <c r="AO38" s="260"/>
      <c r="AP38" s="260"/>
    </row>
    <row r="39" spans="1:42" ht="18.75" thickBot="1" x14ac:dyDescent="0.25">
      <c r="A39" s="314"/>
      <c r="B39" s="322"/>
      <c r="C39" s="1200"/>
      <c r="D39" s="1201"/>
      <c r="E39" s="323" t="s">
        <v>64</v>
      </c>
      <c r="F39" s="324" t="s">
        <v>64</v>
      </c>
      <c r="G39" s="562" t="s">
        <v>64</v>
      </c>
      <c r="H39" s="323" t="s">
        <v>64</v>
      </c>
      <c r="I39" s="324" t="s">
        <v>64</v>
      </c>
      <c r="J39" s="344" t="s">
        <v>64</v>
      </c>
      <c r="K39" s="322" t="s">
        <v>158</v>
      </c>
      <c r="L39" s="732" t="s">
        <v>158</v>
      </c>
      <c r="M39" s="345" t="s">
        <v>158</v>
      </c>
      <c r="S39" s="255"/>
      <c r="T39" s="255"/>
      <c r="U39" s="255"/>
      <c r="V39" s="255"/>
      <c r="W39" s="255"/>
      <c r="X39" s="255"/>
      <c r="Y39" s="346"/>
      <c r="Z39" s="346"/>
      <c r="AA39" s="346"/>
      <c r="AB39" s="346"/>
      <c r="AC39" s="346"/>
      <c r="AD39" s="346"/>
      <c r="AE39" s="346"/>
      <c r="AF39" s="346"/>
      <c r="AG39" s="346"/>
      <c r="AH39" s="346"/>
      <c r="AI39" s="346"/>
      <c r="AJ39" s="347"/>
      <c r="AK39" s="347"/>
      <c r="AL39" s="347"/>
      <c r="AM39" s="260"/>
      <c r="AN39" s="260"/>
      <c r="AO39" s="260"/>
      <c r="AP39" s="260"/>
    </row>
    <row r="40" spans="1:42" ht="39.75" customHeight="1" x14ac:dyDescent="0.2">
      <c r="A40" s="314"/>
      <c r="B40" s="726" t="s">
        <v>184</v>
      </c>
      <c r="C40" s="1195" t="s">
        <v>185</v>
      </c>
      <c r="D40" s="1202"/>
      <c r="E40" s="1003">
        <f ca="1">E31-K31</f>
        <v>56227.46</v>
      </c>
      <c r="F40" s="1004" t="s">
        <v>135</v>
      </c>
      <c r="G40" s="1014">
        <f ca="1">SUM(E40:F40)</f>
        <v>56227.46</v>
      </c>
      <c r="H40" s="1003">
        <f ca="1">G31-P31</f>
        <v>68570.582639552915</v>
      </c>
      <c r="I40" s="1004" t="s">
        <v>135</v>
      </c>
      <c r="J40" s="1015">
        <f ca="1">SUM(H40:I40)</f>
        <v>68570.582639552915</v>
      </c>
      <c r="K40" s="564">
        <f ca="1">I31-Q31</f>
        <v>7199.9157180708098</v>
      </c>
      <c r="L40" s="972" t="s">
        <v>135</v>
      </c>
      <c r="M40" s="349">
        <f ca="1">SUM(K40:L40)</f>
        <v>7199.9157180708098</v>
      </c>
      <c r="S40" s="255"/>
      <c r="T40" s="255"/>
      <c r="U40" s="255"/>
      <c r="V40" s="255"/>
      <c r="W40" s="255"/>
      <c r="X40" s="255"/>
      <c r="Y40" s="350"/>
      <c r="AJ40" s="351"/>
      <c r="AK40" s="259"/>
      <c r="AL40" s="352"/>
      <c r="AM40" s="353"/>
      <c r="AN40" s="260"/>
      <c r="AO40" s="260"/>
      <c r="AP40" s="260"/>
    </row>
    <row r="41" spans="1:42" ht="39.75" customHeight="1" x14ac:dyDescent="0.2">
      <c r="A41" s="314"/>
      <c r="B41" s="726" t="s">
        <v>184</v>
      </c>
      <c r="C41" s="1195" t="s">
        <v>186</v>
      </c>
      <c r="D41" s="1202"/>
      <c r="E41" s="1005">
        <f ca="1">E32-K32</f>
        <v>0</v>
      </c>
      <c r="F41" s="1006" t="s">
        <v>135</v>
      </c>
      <c r="G41" s="1008">
        <f ca="1">SUM(E41:F41)</f>
        <v>0</v>
      </c>
      <c r="H41" s="1005">
        <f ca="1">G32-P32</f>
        <v>0</v>
      </c>
      <c r="I41" s="1006" t="s">
        <v>135</v>
      </c>
      <c r="J41" s="1016">
        <f ca="1">SUM(H41:I41)</f>
        <v>0</v>
      </c>
      <c r="K41" s="565">
        <f ca="1">I32-Q32</f>
        <v>0</v>
      </c>
      <c r="L41" s="973" t="s">
        <v>135</v>
      </c>
      <c r="M41" s="355">
        <f ca="1">SUM(K41:L41)</f>
        <v>0</v>
      </c>
      <c r="S41" s="255"/>
      <c r="T41" s="255"/>
      <c r="U41" s="255"/>
      <c r="V41" s="255"/>
      <c r="W41" s="255"/>
      <c r="X41" s="255"/>
      <c r="Y41" s="350"/>
      <c r="Z41" s="350"/>
      <c r="AA41" s="350"/>
      <c r="AB41" s="350"/>
      <c r="AC41" s="350"/>
      <c r="AD41" s="350"/>
      <c r="AE41" s="350"/>
      <c r="AF41" s="350"/>
      <c r="AG41" s="350"/>
      <c r="AH41" s="350"/>
      <c r="AI41" s="350"/>
      <c r="AJ41" s="351"/>
      <c r="AK41" s="259"/>
      <c r="AL41" s="352"/>
      <c r="AM41" s="353"/>
      <c r="AN41" s="260"/>
      <c r="AO41" s="260"/>
      <c r="AP41" s="260"/>
    </row>
    <row r="42" spans="1:42" ht="39.75" customHeight="1" x14ac:dyDescent="0.2">
      <c r="A42" s="314"/>
      <c r="B42" s="726" t="s">
        <v>187</v>
      </c>
      <c r="C42" s="1195" t="s">
        <v>384</v>
      </c>
      <c r="D42" s="1196"/>
      <c r="E42" s="1007" t="s">
        <v>135</v>
      </c>
      <c r="F42" s="1017">
        <f ca="1">E33-K33</f>
        <v>9153.9362181776614</v>
      </c>
      <c r="G42" s="1008">
        <f ca="1">SUM(E42:F42)</f>
        <v>9153.9362181776614</v>
      </c>
      <c r="H42" s="1007" t="s">
        <v>135</v>
      </c>
      <c r="I42" s="731">
        <f ca="1">G33-P33</f>
        <v>11163.41979391827</v>
      </c>
      <c r="J42" s="1016">
        <f ca="1">SUM(H42:I42)</f>
        <v>11163.41979391827</v>
      </c>
      <c r="K42" s="752" t="s">
        <v>135</v>
      </c>
      <c r="L42" s="974">
        <f ca="1">I33-Q33</f>
        <v>1172.1598176313676</v>
      </c>
      <c r="M42" s="581">
        <f ca="1">ROUND(SUM(K42:L42),2)</f>
        <v>1172.1600000000001</v>
      </c>
      <c r="S42" s="255"/>
      <c r="T42" s="255"/>
      <c r="U42" s="255"/>
      <c r="V42" s="255"/>
      <c r="W42" s="255"/>
      <c r="X42" s="255"/>
      <c r="Y42" s="350"/>
      <c r="AJ42" s="351"/>
      <c r="AK42" s="357"/>
      <c r="AL42" s="352"/>
      <c r="AM42" s="353"/>
      <c r="AN42" s="260"/>
      <c r="AO42" s="260"/>
      <c r="AP42" s="260"/>
    </row>
    <row r="43" spans="1:42" ht="39.75" customHeight="1" thickBot="1" x14ac:dyDescent="0.25">
      <c r="A43" s="314"/>
      <c r="B43" s="725"/>
      <c r="C43" s="1206"/>
      <c r="D43" s="1291"/>
      <c r="E43" s="1009"/>
      <c r="F43" s="1018"/>
      <c r="G43" s="1010"/>
      <c r="H43" s="1009"/>
      <c r="I43" s="383"/>
      <c r="J43" s="1019"/>
      <c r="K43" s="753"/>
      <c r="L43" s="975"/>
      <c r="M43" s="976"/>
      <c r="S43" s="255"/>
      <c r="T43" s="255"/>
      <c r="U43" s="255"/>
      <c r="V43" s="255"/>
      <c r="W43" s="255"/>
      <c r="X43" s="255"/>
      <c r="Y43" s="350"/>
      <c r="AJ43" s="351"/>
      <c r="AK43" s="357"/>
      <c r="AL43" s="352"/>
      <c r="AM43" s="353"/>
      <c r="AN43" s="260"/>
      <c r="AO43" s="260"/>
      <c r="AP43" s="260"/>
    </row>
    <row r="44" spans="1:42" ht="40.5" customHeight="1" thickBot="1" x14ac:dyDescent="0.25">
      <c r="A44" s="314"/>
      <c r="B44" s="1203" t="s">
        <v>163</v>
      </c>
      <c r="C44" s="1204"/>
      <c r="D44" s="1205"/>
      <c r="E44" s="1020">
        <f t="shared" ref="E44:M44" ca="1" si="2">SUM(E40:E43)</f>
        <v>56227.46</v>
      </c>
      <c r="F44" s="1021">
        <f t="shared" ca="1" si="2"/>
        <v>9153.9362181776614</v>
      </c>
      <c r="G44" s="1022">
        <f t="shared" ca="1" si="2"/>
        <v>65381.396218177659</v>
      </c>
      <c r="H44" s="1020">
        <f t="shared" ca="1" si="2"/>
        <v>68570.582639552915</v>
      </c>
      <c r="I44" s="1021">
        <f t="shared" ca="1" si="2"/>
        <v>11163.41979391827</v>
      </c>
      <c r="J44" s="1023">
        <f t="shared" ca="1" si="2"/>
        <v>79734.002433471178</v>
      </c>
      <c r="K44" s="563">
        <f t="shared" ca="1" si="2"/>
        <v>7199.9157180708098</v>
      </c>
      <c r="L44" s="477">
        <f t="shared" ca="1" si="2"/>
        <v>1172.1598176313676</v>
      </c>
      <c r="M44" s="996">
        <f t="shared" ca="1" si="2"/>
        <v>8372.0757180708097</v>
      </c>
      <c r="S44" s="255"/>
      <c r="T44" s="255"/>
      <c r="U44" s="255"/>
      <c r="V44" s="255"/>
      <c r="W44" s="255"/>
      <c r="X44" s="255"/>
      <c r="Y44" s="350"/>
      <c r="AJ44" s="350"/>
      <c r="AK44" s="259"/>
      <c r="AL44" s="352"/>
      <c r="AM44" s="353"/>
      <c r="AN44" s="260"/>
      <c r="AO44" s="260"/>
      <c r="AP44" s="260"/>
    </row>
    <row r="45" spans="1:42" ht="18" x14ac:dyDescent="0.2">
      <c r="B45" s="256"/>
      <c r="C45" s="247"/>
      <c r="D45" s="247"/>
      <c r="E45" s="247"/>
      <c r="F45" s="247"/>
      <c r="G45" s="247"/>
      <c r="H45" s="247"/>
      <c r="I45" s="247"/>
      <c r="J45" s="247"/>
      <c r="K45" s="247"/>
      <c r="L45" s="247"/>
      <c r="M45" s="247"/>
      <c r="N45" s="247"/>
      <c r="O45" s="247"/>
      <c r="P45" s="247"/>
      <c r="Q45" s="247"/>
      <c r="R45" s="255"/>
      <c r="S45" s="255"/>
      <c r="V45" s="255"/>
      <c r="Y45" s="357"/>
      <c r="Z45" s="259"/>
      <c r="AA45" s="259"/>
      <c r="AB45" s="259"/>
      <c r="AC45" s="259"/>
      <c r="AD45" s="259"/>
      <c r="AE45" s="259"/>
      <c r="AF45" s="259"/>
      <c r="AG45" s="259"/>
      <c r="AH45" s="259"/>
      <c r="AI45" s="259"/>
      <c r="AJ45" s="259"/>
      <c r="AK45" s="260"/>
      <c r="AL45" s="260"/>
      <c r="AM45" s="260"/>
      <c r="AN45" s="260"/>
    </row>
    <row r="46" spans="1:42" ht="18.75" thickBot="1" x14ac:dyDescent="0.25">
      <c r="B46" s="257" t="s">
        <v>196</v>
      </c>
      <c r="C46" s="247"/>
      <c r="D46" s="247"/>
      <c r="E46" s="247"/>
      <c r="F46" s="360"/>
      <c r="G46" s="247"/>
      <c r="H46" s="247"/>
      <c r="I46" s="245"/>
      <c r="J46" s="246"/>
      <c r="K46" s="246"/>
      <c r="L46" s="246"/>
      <c r="M46" s="246"/>
      <c r="N46" s="246"/>
      <c r="O46" s="247"/>
      <c r="P46" s="247"/>
      <c r="Q46" s="247"/>
      <c r="R46" s="247"/>
      <c r="S46" s="247"/>
      <c r="T46" s="255"/>
      <c r="U46" s="255"/>
      <c r="V46" s="255"/>
      <c r="Y46" s="259"/>
      <c r="Z46" s="357"/>
      <c r="AA46" s="357"/>
      <c r="AB46" s="357"/>
      <c r="AC46" s="357"/>
      <c r="AD46" s="357"/>
      <c r="AE46" s="357"/>
      <c r="AF46" s="357"/>
      <c r="AG46" s="357"/>
      <c r="AH46" s="357"/>
      <c r="AI46" s="357"/>
      <c r="AJ46" s="357"/>
      <c r="AK46" s="260"/>
      <c r="AL46" s="260"/>
      <c r="AM46" s="260"/>
      <c r="AN46" s="260"/>
    </row>
    <row r="47" spans="1:42" ht="36.75" customHeight="1" thickBot="1" x14ac:dyDescent="0.25">
      <c r="B47" s="361" t="s">
        <v>197</v>
      </c>
      <c r="C47" s="316"/>
      <c r="D47" s="316"/>
      <c r="E47" s="316"/>
      <c r="F47" s="316"/>
      <c r="G47" s="316"/>
      <c r="H47" s="316"/>
      <c r="I47" s="316"/>
      <c r="J47" s="316"/>
      <c r="K47" s="316"/>
      <c r="L47" s="316"/>
      <c r="M47" s="316"/>
      <c r="N47" s="316"/>
      <c r="O47" s="316"/>
      <c r="P47" s="316"/>
      <c r="Q47" s="317"/>
      <c r="R47" s="259"/>
      <c r="S47" s="259"/>
      <c r="T47" s="259"/>
      <c r="U47" s="259"/>
      <c r="AD47" s="259"/>
      <c r="AE47" s="259"/>
      <c r="AF47" s="259"/>
      <c r="AG47" s="259"/>
      <c r="AH47" s="259"/>
      <c r="AI47" s="259"/>
      <c r="AJ47" s="259"/>
      <c r="AK47" s="260"/>
      <c r="AL47" s="260"/>
      <c r="AM47" s="260"/>
      <c r="AN47" s="260"/>
    </row>
    <row r="48" spans="1:42" ht="45" customHeight="1" x14ac:dyDescent="0.2">
      <c r="B48" s="1269" t="s">
        <v>198</v>
      </c>
      <c r="C48" s="1278" t="s">
        <v>176</v>
      </c>
      <c r="D48" s="1301" t="s">
        <v>387</v>
      </c>
      <c r="E48" s="1268" t="s">
        <v>288</v>
      </c>
      <c r="F48" s="1277" t="s">
        <v>327</v>
      </c>
      <c r="G48" s="1277" t="s">
        <v>326</v>
      </c>
      <c r="H48" s="1277" t="s">
        <v>386</v>
      </c>
      <c r="I48" s="1302" t="s">
        <v>385</v>
      </c>
      <c r="J48" s="979" t="s">
        <v>415</v>
      </c>
      <c r="K48" s="980"/>
      <c r="L48" s="749" t="s">
        <v>334</v>
      </c>
      <c r="M48" s="750"/>
      <c r="N48" s="750"/>
      <c r="O48" s="750"/>
      <c r="P48" s="751"/>
      <c r="Q48" s="751"/>
      <c r="R48" s="259"/>
      <c r="S48" s="259"/>
      <c r="T48" s="259"/>
      <c r="U48" s="259"/>
      <c r="AD48" s="259"/>
      <c r="AE48" s="259"/>
      <c r="AF48" s="259"/>
      <c r="AG48" s="259"/>
      <c r="AH48" s="259"/>
      <c r="AI48" s="259"/>
      <c r="AJ48" s="259"/>
      <c r="AK48" s="260"/>
      <c r="AL48" s="260"/>
      <c r="AM48" s="260"/>
      <c r="AN48" s="260"/>
    </row>
    <row r="49" spans="2:42" ht="30" customHeight="1" thickBot="1" x14ac:dyDescent="0.25">
      <c r="B49" s="1269"/>
      <c r="C49" s="1278"/>
      <c r="D49" s="1301"/>
      <c r="E49" s="1269"/>
      <c r="F49" s="1278"/>
      <c r="G49" s="1278"/>
      <c r="H49" s="1278"/>
      <c r="I49" s="1303"/>
      <c r="J49" s="981" t="s">
        <v>416</v>
      </c>
      <c r="K49" s="948"/>
      <c r="L49" s="1305" t="s">
        <v>177</v>
      </c>
      <c r="M49" s="1306"/>
      <c r="N49" s="719" t="s">
        <v>178</v>
      </c>
      <c r="O49" s="992"/>
      <c r="P49" s="929" t="s">
        <v>163</v>
      </c>
      <c r="Q49" s="929"/>
      <c r="R49" s="259"/>
      <c r="S49" s="259"/>
      <c r="T49" s="259"/>
      <c r="U49" s="259"/>
      <c r="AD49" s="259"/>
      <c r="AE49" s="259"/>
      <c r="AF49" s="259"/>
      <c r="AG49" s="259"/>
      <c r="AH49" s="259"/>
      <c r="AI49" s="259"/>
      <c r="AJ49" s="259"/>
      <c r="AK49" s="260"/>
      <c r="AL49" s="260"/>
      <c r="AM49" s="260"/>
      <c r="AN49" s="260"/>
    </row>
    <row r="50" spans="2:42" ht="65.25" customHeight="1" x14ac:dyDescent="0.2">
      <c r="B50" s="1270"/>
      <c r="C50" s="1279"/>
      <c r="D50" s="1290"/>
      <c r="E50" s="1270"/>
      <c r="F50" s="1279"/>
      <c r="G50" s="1279"/>
      <c r="H50" s="1279"/>
      <c r="I50" s="1304"/>
      <c r="J50" s="953" t="s">
        <v>330</v>
      </c>
      <c r="K50" s="337" t="s">
        <v>331</v>
      </c>
      <c r="L50" s="319" t="s">
        <v>179</v>
      </c>
      <c r="M50" s="320" t="s">
        <v>180</v>
      </c>
      <c r="N50" s="321" t="s">
        <v>179</v>
      </c>
      <c r="O50" s="321" t="s">
        <v>181</v>
      </c>
      <c r="P50" s="930" t="s">
        <v>179</v>
      </c>
      <c r="Q50" s="339" t="s">
        <v>189</v>
      </c>
      <c r="R50" s="259"/>
      <c r="S50" s="259"/>
      <c r="T50" s="259"/>
      <c r="U50" s="259"/>
      <c r="AD50" s="259"/>
      <c r="AE50" s="259"/>
      <c r="AF50" s="259"/>
      <c r="AG50" s="259"/>
      <c r="AH50" s="259"/>
      <c r="AI50" s="259"/>
      <c r="AJ50" s="259"/>
      <c r="AK50" s="260"/>
      <c r="AL50" s="260"/>
      <c r="AM50" s="260"/>
      <c r="AN50" s="260"/>
    </row>
    <row r="51" spans="2:42" ht="15" customHeight="1" thickBot="1" x14ac:dyDescent="0.25">
      <c r="B51" s="362"/>
      <c r="C51" s="1085"/>
      <c r="D51" s="322"/>
      <c r="E51" s="342" t="s">
        <v>64</v>
      </c>
      <c r="F51" s="343" t="s">
        <v>182</v>
      </c>
      <c r="G51" s="343" t="s">
        <v>64</v>
      </c>
      <c r="H51" s="343" t="s">
        <v>183</v>
      </c>
      <c r="I51" s="418" t="s">
        <v>158</v>
      </c>
      <c r="J51" s="954" t="s">
        <v>183</v>
      </c>
      <c r="K51" s="1083" t="s">
        <v>64</v>
      </c>
      <c r="L51" s="780" t="s">
        <v>64</v>
      </c>
      <c r="M51" s="784" t="s">
        <v>183</v>
      </c>
      <c r="N51" s="782" t="s">
        <v>64</v>
      </c>
      <c r="O51" s="782" t="s">
        <v>183</v>
      </c>
      <c r="P51" s="931" t="s">
        <v>64</v>
      </c>
      <c r="Q51" s="375" t="s">
        <v>158</v>
      </c>
      <c r="R51" s="259"/>
      <c r="S51" s="259"/>
      <c r="T51" s="259"/>
      <c r="U51" s="259"/>
      <c r="AD51" s="259"/>
      <c r="AE51" s="259"/>
      <c r="AF51" s="259"/>
      <c r="AG51" s="259"/>
      <c r="AH51" s="259"/>
      <c r="AI51" s="259"/>
      <c r="AJ51" s="259"/>
      <c r="AK51" s="260"/>
      <c r="AL51" s="260"/>
      <c r="AM51" s="260"/>
      <c r="AN51" s="260"/>
    </row>
    <row r="52" spans="2:42" ht="45.6" customHeight="1" x14ac:dyDescent="0.2">
      <c r="B52" s="364" t="s">
        <v>184</v>
      </c>
      <c r="C52" s="365" t="str">
        <f>C31</f>
        <v>OGREVANJE</v>
      </c>
      <c r="D52" s="366">
        <v>1</v>
      </c>
      <c r="E52" s="367">
        <f>ROUND(E31*D52,0)</f>
        <v>56227</v>
      </c>
      <c r="F52" s="1295">
        <f>$F$31</f>
        <v>0.12804981263729162</v>
      </c>
      <c r="G52" s="368">
        <f>ROUND(G31*D52,0)</f>
        <v>68571</v>
      </c>
      <c r="H52" s="1295">
        <f>ROUND(H31,6)</f>
        <v>0.105</v>
      </c>
      <c r="I52" s="794">
        <f>ROUND(G52*$H$52,2)</f>
        <v>7199.96</v>
      </c>
      <c r="J52" s="1292" t="e">
        <f ca="1">ROUND(Q56/K56,6)</f>
        <v>#DIV/0!</v>
      </c>
      <c r="K52" s="993">
        <f ca="1">K31*D52</f>
        <v>0</v>
      </c>
      <c r="L52" s="797">
        <f ca="1">ROUND(L31*D52,0)</f>
        <v>0</v>
      </c>
      <c r="M52" s="1298">
        <f ca="1">ROUND(M31,6)</f>
        <v>0.16700000000000001</v>
      </c>
      <c r="N52" s="798">
        <f ca="1">ROUND(N31*D52,0)</f>
        <v>0</v>
      </c>
      <c r="O52" s="1298">
        <f ca="1">ROUND(O31,6)</f>
        <v>0.105</v>
      </c>
      <c r="P52" s="932">
        <f ca="1">L52+N52</f>
        <v>0</v>
      </c>
      <c r="Q52" s="348">
        <f ca="1">L52*$M$31+N52*$O$31</f>
        <v>0</v>
      </c>
      <c r="R52" s="259"/>
      <c r="S52" s="259"/>
      <c r="T52" s="259"/>
      <c r="U52" s="259"/>
      <c r="AD52" s="259"/>
      <c r="AE52" s="259"/>
      <c r="AF52" s="259"/>
      <c r="AG52" s="259"/>
      <c r="AH52" s="259"/>
      <c r="AI52" s="259"/>
      <c r="AJ52" s="259"/>
      <c r="AK52" s="260"/>
      <c r="AL52" s="260"/>
      <c r="AM52" s="260"/>
      <c r="AN52" s="260"/>
    </row>
    <row r="53" spans="2:42" ht="45.6" customHeight="1" x14ac:dyDescent="0.2">
      <c r="B53" s="364" t="s">
        <v>184</v>
      </c>
      <c r="C53" s="365" t="str">
        <f>C32</f>
        <v>SANITARNA TOPLA VODA</v>
      </c>
      <c r="D53" s="366">
        <f>D52</f>
        <v>1</v>
      </c>
      <c r="E53" s="566">
        <f>ROUND(E32*D53,0)</f>
        <v>0</v>
      </c>
      <c r="F53" s="1296"/>
      <c r="G53" s="478">
        <f>ROUND(G32*D53,0)</f>
        <v>0</v>
      </c>
      <c r="H53" s="1296"/>
      <c r="I53" s="795">
        <f t="shared" ref="I53:I54" si="3">ROUND(G53*$H$52,2)</f>
        <v>0</v>
      </c>
      <c r="J53" s="1293"/>
      <c r="K53" s="994">
        <f t="shared" ref="K53:K54" ca="1" si="4">K32*D53</f>
        <v>0</v>
      </c>
      <c r="L53" s="799">
        <f ca="1">ROUND(L32*D53,0)</f>
        <v>0</v>
      </c>
      <c r="M53" s="1299"/>
      <c r="N53" s="729">
        <f ca="1">ROUND(N32*D53,0)</f>
        <v>0</v>
      </c>
      <c r="O53" s="1299"/>
      <c r="P53" s="933">
        <f ca="1">L53+N53</f>
        <v>0</v>
      </c>
      <c r="Q53" s="380">
        <f t="shared" ref="Q53:Q54" ca="1" si="5">L53*$M$31+N53*$O$31</f>
        <v>0</v>
      </c>
      <c r="R53" s="259"/>
      <c r="S53" s="259"/>
      <c r="T53" s="259"/>
      <c r="U53" s="259"/>
      <c r="AD53" s="259"/>
      <c r="AE53" s="259"/>
      <c r="AF53" s="259"/>
      <c r="AG53" s="259"/>
      <c r="AH53" s="259"/>
      <c r="AI53" s="259"/>
      <c r="AJ53" s="259"/>
      <c r="AK53" s="260"/>
      <c r="AL53" s="260"/>
      <c r="AM53" s="260"/>
      <c r="AN53" s="260"/>
    </row>
    <row r="54" spans="2:42" ht="45.6" customHeight="1" x14ac:dyDescent="0.2">
      <c r="B54" s="364" t="s">
        <v>187</v>
      </c>
      <c r="C54" s="365" t="str">
        <f>C33</f>
        <v>MEHANSKO PREZRAČEVANJE</v>
      </c>
      <c r="D54" s="366">
        <f>D53</f>
        <v>1</v>
      </c>
      <c r="E54" s="566">
        <f>ROUND(E33*D54,0)</f>
        <v>9154</v>
      </c>
      <c r="F54" s="1296"/>
      <c r="G54" s="478">
        <f>ROUND(G33*D54,0)</f>
        <v>11163</v>
      </c>
      <c r="H54" s="1296"/>
      <c r="I54" s="795">
        <f t="shared" si="3"/>
        <v>1172.1199999999999</v>
      </c>
      <c r="J54" s="1293"/>
      <c r="K54" s="994">
        <f t="shared" ca="1" si="4"/>
        <v>0</v>
      </c>
      <c r="L54" s="799">
        <f ca="1">ROUND(L33*D54,0)</f>
        <v>0</v>
      </c>
      <c r="M54" s="1299"/>
      <c r="N54" s="729">
        <f ca="1">ROUND(N33*D54,0)</f>
        <v>0</v>
      </c>
      <c r="O54" s="1299"/>
      <c r="P54" s="933">
        <f ca="1">L54+N54</f>
        <v>0</v>
      </c>
      <c r="Q54" s="380">
        <f t="shared" ca="1" si="5"/>
        <v>0</v>
      </c>
      <c r="R54" s="259"/>
      <c r="S54" s="259"/>
      <c r="T54" s="259"/>
      <c r="U54" s="259"/>
      <c r="AD54" s="259"/>
      <c r="AE54" s="259"/>
      <c r="AF54" s="259"/>
      <c r="AG54" s="259"/>
      <c r="AH54" s="259"/>
      <c r="AI54" s="259"/>
      <c r="AJ54" s="259"/>
      <c r="AK54" s="260"/>
      <c r="AL54" s="260"/>
      <c r="AM54" s="260"/>
      <c r="AN54" s="260"/>
    </row>
    <row r="55" spans="2:42" ht="45.6" customHeight="1" thickBot="1" x14ac:dyDescent="0.25">
      <c r="B55" s="937"/>
      <c r="C55" s="938"/>
      <c r="D55" s="939"/>
      <c r="E55" s="727"/>
      <c r="F55" s="1297"/>
      <c r="G55" s="728"/>
      <c r="H55" s="1297"/>
      <c r="I55" s="796"/>
      <c r="J55" s="1294"/>
      <c r="K55" s="995"/>
      <c r="L55" s="800"/>
      <c r="M55" s="1300"/>
      <c r="N55" s="730"/>
      <c r="O55" s="1300"/>
      <c r="P55" s="934"/>
      <c r="Q55" s="380"/>
      <c r="R55" s="259"/>
      <c r="S55" s="259"/>
      <c r="T55" s="259"/>
      <c r="U55" s="259"/>
      <c r="AD55" s="259"/>
      <c r="AE55" s="259"/>
      <c r="AF55" s="259"/>
      <c r="AG55" s="259"/>
      <c r="AH55" s="259"/>
      <c r="AI55" s="259"/>
      <c r="AJ55" s="259"/>
      <c r="AK55" s="260"/>
      <c r="AL55" s="260"/>
      <c r="AM55" s="260"/>
      <c r="AN55" s="260"/>
    </row>
    <row r="56" spans="2:42" ht="34.5" customHeight="1" thickBot="1" x14ac:dyDescent="0.25">
      <c r="B56" s="1203" t="str">
        <f>B35</f>
        <v>SKUPAJ</v>
      </c>
      <c r="C56" s="1204"/>
      <c r="D56" s="1205"/>
      <c r="E56" s="330">
        <f>SUM(E52:E55)</f>
        <v>65381</v>
      </c>
      <c r="F56" s="331"/>
      <c r="G56" s="372">
        <f>SUM(G52:G55)</f>
        <v>79734</v>
      </c>
      <c r="H56" s="333"/>
      <c r="I56" s="334">
        <f>SUM(I52:I55)</f>
        <v>8372.08</v>
      </c>
      <c r="J56" s="955"/>
      <c r="K56" s="968">
        <f ca="1">SUM(K52:K55)</f>
        <v>0</v>
      </c>
      <c r="L56" s="781">
        <f ca="1">SUM(L52:L55)</f>
        <v>0</v>
      </c>
      <c r="M56" s="786"/>
      <c r="N56" s="783">
        <f ca="1">SUM(N52:N55)</f>
        <v>0</v>
      </c>
      <c r="O56" s="787"/>
      <c r="P56" s="789">
        <f ca="1">SUM(P52:P55)</f>
        <v>0</v>
      </c>
      <c r="Q56" s="387">
        <f ca="1">SUM(Q52:Q55)</f>
        <v>0</v>
      </c>
      <c r="R56" s="259"/>
      <c r="S56" s="259"/>
      <c r="T56" s="259"/>
      <c r="U56" s="259"/>
      <c r="AD56" s="259"/>
      <c r="AE56" s="259"/>
      <c r="AF56" s="259"/>
      <c r="AG56" s="259"/>
      <c r="AH56" s="259"/>
      <c r="AI56" s="259"/>
      <c r="AJ56" s="259"/>
      <c r="AK56" s="260"/>
      <c r="AL56" s="260"/>
      <c r="AM56" s="260"/>
      <c r="AN56" s="260"/>
    </row>
    <row r="57" spans="2:42" ht="18" customHeight="1" thickBot="1" x14ac:dyDescent="0.25">
      <c r="B57" s="256"/>
      <c r="C57" s="247"/>
      <c r="D57" s="247"/>
      <c r="E57" s="561"/>
      <c r="F57" s="247"/>
      <c r="G57" s="247"/>
      <c r="H57" s="247"/>
      <c r="I57" s="245"/>
      <c r="J57" s="246"/>
      <c r="K57" s="246"/>
      <c r="L57" s="246"/>
      <c r="M57" s="246"/>
      <c r="N57" s="246"/>
      <c r="O57" s="247"/>
      <c r="P57" s="247"/>
      <c r="Q57" s="247"/>
      <c r="R57" s="247"/>
      <c r="S57" s="247"/>
      <c r="T57" s="255"/>
      <c r="U57" s="255"/>
      <c r="V57" s="255"/>
      <c r="Y57" s="259"/>
      <c r="Z57" s="259"/>
      <c r="AA57" s="259"/>
      <c r="AB57" s="259"/>
      <c r="AC57" s="259"/>
      <c r="AD57" s="259"/>
      <c r="AE57" s="259"/>
      <c r="AF57" s="259"/>
      <c r="AG57" s="259"/>
      <c r="AH57" s="259"/>
      <c r="AI57" s="259"/>
      <c r="AJ57" s="259"/>
      <c r="AK57" s="260"/>
      <c r="AL57" s="260"/>
      <c r="AM57" s="260"/>
      <c r="AN57" s="260"/>
    </row>
    <row r="58" spans="2:42" ht="18" customHeight="1" thickBot="1" x14ac:dyDescent="0.25">
      <c r="B58" s="1268" t="s">
        <v>198</v>
      </c>
      <c r="C58" s="1277" t="s">
        <v>176</v>
      </c>
      <c r="D58" s="1289" t="s">
        <v>200</v>
      </c>
      <c r="E58" s="748" t="s">
        <v>417</v>
      </c>
      <c r="F58" s="949"/>
      <c r="G58" s="949"/>
      <c r="H58" s="949"/>
      <c r="I58" s="949"/>
      <c r="J58" s="949"/>
      <c r="K58" s="949"/>
      <c r="L58" s="949"/>
      <c r="M58" s="950"/>
      <c r="S58" s="255"/>
      <c r="T58" s="255"/>
      <c r="U58" s="255"/>
      <c r="V58" s="255"/>
      <c r="Y58" s="259"/>
      <c r="Z58" s="259"/>
      <c r="AA58" s="259"/>
      <c r="AB58" s="259"/>
      <c r="AC58" s="259"/>
      <c r="AD58" s="259"/>
      <c r="AE58" s="259"/>
      <c r="AF58" s="259"/>
      <c r="AG58" s="259"/>
      <c r="AH58" s="259"/>
      <c r="AI58" s="259"/>
      <c r="AJ58" s="259"/>
      <c r="AK58" s="260"/>
      <c r="AL58" s="260"/>
      <c r="AM58" s="260"/>
      <c r="AN58" s="260"/>
    </row>
    <row r="59" spans="2:42" ht="38.25" x14ac:dyDescent="0.2">
      <c r="B59" s="1270"/>
      <c r="C59" s="1279"/>
      <c r="D59" s="1290"/>
      <c r="E59" s="338" t="s">
        <v>400</v>
      </c>
      <c r="F59" s="336" t="s">
        <v>401</v>
      </c>
      <c r="G59" s="337" t="s">
        <v>402</v>
      </c>
      <c r="H59" s="336" t="s">
        <v>190</v>
      </c>
      <c r="I59" s="337" t="s">
        <v>191</v>
      </c>
      <c r="J59" s="408" t="s">
        <v>192</v>
      </c>
      <c r="K59" s="373" t="s">
        <v>388</v>
      </c>
      <c r="L59" s="374" t="s">
        <v>389</v>
      </c>
      <c r="M59" s="341" t="s">
        <v>201</v>
      </c>
      <c r="S59" s="255"/>
      <c r="T59" s="255"/>
      <c r="U59" s="255"/>
      <c r="V59" s="255"/>
      <c r="W59" s="255"/>
      <c r="X59" s="255"/>
      <c r="AJ59" s="259"/>
      <c r="AK59" s="259"/>
      <c r="AL59" s="259"/>
      <c r="AM59" s="260"/>
      <c r="AN59" s="260"/>
      <c r="AO59" s="260"/>
      <c r="AP59" s="260"/>
    </row>
    <row r="60" spans="2:42" ht="18.75" thickBot="1" x14ac:dyDescent="0.25">
      <c r="B60" s="362"/>
      <c r="C60" s="1085"/>
      <c r="D60" s="322"/>
      <c r="E60" s="342" t="s">
        <v>64</v>
      </c>
      <c r="F60" s="732" t="s">
        <v>64</v>
      </c>
      <c r="G60" s="318" t="s">
        <v>64</v>
      </c>
      <c r="H60" s="733" t="s">
        <v>64</v>
      </c>
      <c r="I60" s="732" t="s">
        <v>64</v>
      </c>
      <c r="J60" s="318" t="s">
        <v>64</v>
      </c>
      <c r="K60" s="376" t="s">
        <v>158</v>
      </c>
      <c r="L60" s="377" t="s">
        <v>158</v>
      </c>
      <c r="M60" s="345" t="s">
        <v>158</v>
      </c>
      <c r="S60" s="255"/>
      <c r="T60" s="255"/>
      <c r="U60" s="255"/>
      <c r="V60" s="255"/>
      <c r="W60" s="255"/>
      <c r="X60" s="255"/>
      <c r="AJ60" s="259"/>
      <c r="AK60" s="259"/>
      <c r="AL60" s="259"/>
      <c r="AM60" s="260"/>
      <c r="AN60" s="260"/>
      <c r="AO60" s="260"/>
      <c r="AP60" s="260"/>
    </row>
    <row r="61" spans="2:42" ht="50.25" customHeight="1" x14ac:dyDescent="0.2">
      <c r="B61" s="364" t="s">
        <v>184</v>
      </c>
      <c r="C61" s="365" t="str">
        <f>C40</f>
        <v>OGREVANJE</v>
      </c>
      <c r="D61" s="378">
        <f>D52</f>
        <v>1</v>
      </c>
      <c r="E61" s="1003">
        <f ca="1">E52-K52</f>
        <v>56227</v>
      </c>
      <c r="F61" s="1004" t="s">
        <v>135</v>
      </c>
      <c r="G61" s="998">
        <f ca="1">SUM(E61:F61)</f>
        <v>56227</v>
      </c>
      <c r="H61" s="1012">
        <f ca="1">G52-P52</f>
        <v>68571</v>
      </c>
      <c r="I61" s="1004" t="s">
        <v>135</v>
      </c>
      <c r="J61" s="998">
        <f ca="1">SUM(H61:I61)</f>
        <v>68571</v>
      </c>
      <c r="K61" s="379">
        <f ca="1">I52-Q52</f>
        <v>7199.96</v>
      </c>
      <c r="L61" s="754" t="s">
        <v>135</v>
      </c>
      <c r="M61" s="349">
        <f ca="1">SUM(K61:L61)</f>
        <v>7199.96</v>
      </c>
      <c r="S61" s="255"/>
      <c r="T61" s="255"/>
      <c r="U61" s="255"/>
      <c r="V61" s="255"/>
      <c r="W61" s="255"/>
      <c r="X61" s="255"/>
      <c r="AJ61" s="259"/>
      <c r="AK61" s="259"/>
      <c r="AL61" s="259"/>
      <c r="AM61" s="260"/>
      <c r="AN61" s="260"/>
      <c r="AO61" s="260"/>
      <c r="AP61" s="260"/>
    </row>
    <row r="62" spans="2:42" ht="50.25" customHeight="1" x14ac:dyDescent="0.2">
      <c r="B62" s="364" t="s">
        <v>184</v>
      </c>
      <c r="C62" s="365" t="str">
        <f>C41</f>
        <v>SANITARNA TOPLA VODA</v>
      </c>
      <c r="D62" s="378">
        <f>D53</f>
        <v>1</v>
      </c>
      <c r="E62" s="1005">
        <f ca="1">E53-K53</f>
        <v>0</v>
      </c>
      <c r="F62" s="1006" t="s">
        <v>135</v>
      </c>
      <c r="G62" s="999">
        <f ca="1">SUM(E62:F62)</f>
        <v>0</v>
      </c>
      <c r="H62" s="1013">
        <f ca="1">G53-P53</f>
        <v>0</v>
      </c>
      <c r="I62" s="1006" t="s">
        <v>135</v>
      </c>
      <c r="J62" s="999">
        <f ca="1">SUM(H62:I62)</f>
        <v>0</v>
      </c>
      <c r="K62" s="381">
        <f ca="1">I53-Q53</f>
        <v>0</v>
      </c>
      <c r="L62" s="755" t="s">
        <v>135</v>
      </c>
      <c r="M62" s="355">
        <f ca="1">SUM(K62:L62)</f>
        <v>0</v>
      </c>
      <c r="S62" s="255"/>
      <c r="T62" s="255"/>
      <c r="U62" s="255"/>
      <c r="V62" s="255"/>
      <c r="W62" s="255"/>
      <c r="X62" s="255"/>
      <c r="AJ62" s="259"/>
      <c r="AK62" s="259"/>
      <c r="AL62" s="259"/>
      <c r="AM62" s="260"/>
      <c r="AN62" s="260"/>
      <c r="AO62" s="260"/>
      <c r="AP62" s="260"/>
    </row>
    <row r="63" spans="2:42" ht="50.25" customHeight="1" x14ac:dyDescent="0.2">
      <c r="B63" s="364" t="s">
        <v>187</v>
      </c>
      <c r="C63" s="382" t="str">
        <f>C42</f>
        <v>MEHANSKO PREZRAČEVANJE</v>
      </c>
      <c r="D63" s="378">
        <f>D54</f>
        <v>1</v>
      </c>
      <c r="E63" s="1007" t="s">
        <v>135</v>
      </c>
      <c r="F63" s="1008">
        <f ca="1">E54-K54</f>
        <v>9154</v>
      </c>
      <c r="G63" s="999">
        <f ca="1">SUM(E63:F63)</f>
        <v>9154</v>
      </c>
      <c r="H63" s="1007" t="s">
        <v>135</v>
      </c>
      <c r="I63" s="935">
        <f ca="1">G54-P54</f>
        <v>11163</v>
      </c>
      <c r="J63" s="999">
        <f ca="1">SUM(H63:I63)</f>
        <v>11163</v>
      </c>
      <c r="K63" s="752" t="s">
        <v>135</v>
      </c>
      <c r="L63" s="381">
        <f ca="1">I54-Q54</f>
        <v>1172.1199999999999</v>
      </c>
      <c r="M63" s="356">
        <f ca="1">ROUND(SUM(K63:L63),2)</f>
        <v>1172.1199999999999</v>
      </c>
      <c r="S63" s="255"/>
      <c r="T63" s="255"/>
      <c r="U63" s="255"/>
      <c r="V63" s="255"/>
      <c r="W63" s="255"/>
      <c r="X63" s="255"/>
      <c r="AJ63" s="259"/>
      <c r="AK63" s="259"/>
      <c r="AL63" s="259"/>
      <c r="AM63" s="260"/>
      <c r="AN63" s="260"/>
      <c r="AO63" s="260"/>
      <c r="AP63" s="260"/>
    </row>
    <row r="64" spans="2:42" ht="50.25" customHeight="1" thickBot="1" x14ac:dyDescent="0.25">
      <c r="B64" s="364"/>
      <c r="C64" s="382"/>
      <c r="D64" s="378"/>
      <c r="E64" s="1009"/>
      <c r="F64" s="1010"/>
      <c r="G64" s="1000"/>
      <c r="H64" s="1009"/>
      <c r="I64" s="936"/>
      <c r="J64" s="1000"/>
      <c r="K64" s="753"/>
      <c r="L64" s="384"/>
      <c r="M64" s="356"/>
      <c r="S64" s="255"/>
      <c r="T64" s="255"/>
      <c r="U64" s="255"/>
      <c r="V64" s="255"/>
      <c r="W64" s="255"/>
      <c r="X64" s="255"/>
      <c r="AJ64" s="259"/>
      <c r="AK64" s="259"/>
      <c r="AL64" s="259"/>
      <c r="AM64" s="260"/>
      <c r="AN64" s="260"/>
      <c r="AO64" s="260"/>
      <c r="AP64" s="260"/>
    </row>
    <row r="65" spans="2:42" ht="35.25" customHeight="1" thickBot="1" x14ac:dyDescent="0.25">
      <c r="B65" s="1315" t="str">
        <f>B44</f>
        <v>SKUPAJ</v>
      </c>
      <c r="C65" s="1347"/>
      <c r="D65" s="1348"/>
      <c r="E65" s="439">
        <f t="shared" ref="E65:M65" ca="1" si="6">SUM(E61:E64)</f>
        <v>56227</v>
      </c>
      <c r="F65" s="1011">
        <f t="shared" ca="1" si="6"/>
        <v>9154</v>
      </c>
      <c r="G65" s="1001">
        <f t="shared" ca="1" si="6"/>
        <v>65381</v>
      </c>
      <c r="H65" s="386">
        <f t="shared" ca="1" si="6"/>
        <v>68571</v>
      </c>
      <c r="I65" s="1011">
        <f t="shared" ca="1" si="6"/>
        <v>11163</v>
      </c>
      <c r="J65" s="1002">
        <f t="shared" ca="1" si="6"/>
        <v>79734</v>
      </c>
      <c r="K65" s="546">
        <f t="shared" ca="1" si="6"/>
        <v>7199.96</v>
      </c>
      <c r="L65" s="358">
        <f t="shared" ca="1" si="6"/>
        <v>1172.1199999999999</v>
      </c>
      <c r="M65" s="996">
        <f t="shared" ca="1" si="6"/>
        <v>8372.08</v>
      </c>
      <c r="S65" s="255"/>
      <c r="AJ65" s="259"/>
      <c r="AK65" s="259"/>
      <c r="AL65" s="259"/>
      <c r="AM65" s="260"/>
      <c r="AN65" s="260"/>
      <c r="AO65" s="260"/>
      <c r="AP65" s="260"/>
    </row>
    <row r="66" spans="2:42" ht="15.75" thickBot="1" x14ac:dyDescent="0.25">
      <c r="B66" s="257"/>
      <c r="C66" s="247"/>
      <c r="D66" s="247"/>
      <c r="E66" s="247"/>
      <c r="F66" s="247"/>
      <c r="G66" s="360"/>
      <c r="H66" s="247"/>
      <c r="I66" s="389"/>
      <c r="J66" s="389"/>
      <c r="K66" s="389"/>
      <c r="L66" s="389"/>
      <c r="M66" s="389"/>
      <c r="N66" s="389"/>
      <c r="O66" s="247"/>
      <c r="P66" s="390"/>
      <c r="Q66" s="247"/>
      <c r="R66" s="247"/>
      <c r="S66" s="247"/>
      <c r="T66" s="259"/>
      <c r="U66" s="259"/>
      <c r="V66" s="259"/>
      <c r="W66" s="259"/>
      <c r="X66" s="259"/>
      <c r="Y66" s="259"/>
      <c r="Z66" s="259"/>
      <c r="AA66" s="259"/>
      <c r="AB66" s="259"/>
      <c r="AC66" s="259"/>
      <c r="AD66" s="259"/>
      <c r="AE66" s="259"/>
      <c r="AF66" s="259"/>
      <c r="AG66" s="259"/>
      <c r="AH66" s="259"/>
      <c r="AI66" s="259"/>
      <c r="AJ66" s="259"/>
      <c r="AK66" s="260"/>
      <c r="AL66" s="260"/>
      <c r="AM66" s="260"/>
      <c r="AN66" s="260"/>
    </row>
    <row r="67" spans="2:42" ht="36.75" customHeight="1" thickBot="1" x14ac:dyDescent="0.25">
      <c r="B67" s="361" t="s">
        <v>202</v>
      </c>
      <c r="C67" s="316"/>
      <c r="D67" s="316"/>
      <c r="E67" s="316"/>
      <c r="F67" s="316"/>
      <c r="G67" s="316"/>
      <c r="H67" s="316"/>
      <c r="I67" s="316"/>
      <c r="J67" s="316"/>
      <c r="K67" s="316"/>
      <c r="L67" s="316"/>
      <c r="M67" s="316"/>
      <c r="N67" s="316"/>
      <c r="O67" s="316"/>
      <c r="P67" s="316"/>
      <c r="Q67" s="316"/>
      <c r="R67" s="316"/>
      <c r="S67" s="316"/>
      <c r="T67" s="316"/>
      <c r="U67" s="316"/>
      <c r="V67" s="997"/>
      <c r="X67" s="259"/>
      <c r="Y67" s="259"/>
      <c r="Z67" s="259"/>
      <c r="AA67" s="259"/>
      <c r="AB67" s="259"/>
      <c r="AC67" s="259"/>
      <c r="AD67" s="259"/>
      <c r="AE67" s="259"/>
      <c r="AF67" s="259"/>
      <c r="AG67" s="259"/>
      <c r="AH67" s="259"/>
      <c r="AI67" s="259"/>
      <c r="AJ67" s="391" t="s">
        <v>203</v>
      </c>
      <c r="AK67" s="392"/>
      <c r="AL67" s="392"/>
      <c r="AM67" s="392"/>
      <c r="AN67" s="260"/>
    </row>
    <row r="68" spans="2:42" ht="45" customHeight="1" thickBot="1" x14ac:dyDescent="0.25">
      <c r="B68" s="748" t="s">
        <v>204</v>
      </c>
      <c r="C68" s="757"/>
      <c r="D68" s="757"/>
      <c r="E68" s="757"/>
      <c r="F68" s="757"/>
      <c r="G68" s="757"/>
      <c r="H68" s="757"/>
      <c r="I68" s="757"/>
      <c r="J68" s="757"/>
      <c r="K68" s="809" t="s">
        <v>205</v>
      </c>
      <c r="L68" s="810"/>
      <c r="M68" s="810"/>
      <c r="N68" s="810"/>
      <c r="O68" s="810"/>
      <c r="P68" s="810"/>
      <c r="Q68" s="811"/>
      <c r="R68" s="809" t="s">
        <v>206</v>
      </c>
      <c r="S68" s="809"/>
      <c r="T68" s="746"/>
      <c r="U68" s="746"/>
      <c r="V68" s="918"/>
      <c r="AB68" s="259"/>
      <c r="AC68" s="259"/>
      <c r="AD68" s="259"/>
      <c r="AE68" s="259"/>
      <c r="AF68" s="259"/>
      <c r="AG68" s="259"/>
      <c r="AH68" s="259"/>
      <c r="AI68" s="259"/>
      <c r="AJ68" s="391"/>
      <c r="AK68" s="392"/>
      <c r="AL68" s="392"/>
      <c r="AM68" s="392"/>
      <c r="AN68" s="260"/>
    </row>
    <row r="69" spans="2:42" ht="84" customHeight="1" x14ac:dyDescent="0.2">
      <c r="B69" s="765" t="s">
        <v>63</v>
      </c>
      <c r="C69" s="758" t="s">
        <v>207</v>
      </c>
      <c r="D69" s="1089" t="s">
        <v>39</v>
      </c>
      <c r="E69" s="760" t="s">
        <v>163</v>
      </c>
      <c r="F69" s="761" t="s">
        <v>176</v>
      </c>
      <c r="G69" s="764" t="s">
        <v>175</v>
      </c>
      <c r="H69" s="338" t="s">
        <v>407</v>
      </c>
      <c r="I69" s="339" t="s">
        <v>408</v>
      </c>
      <c r="J69" s="408" t="s">
        <v>398</v>
      </c>
      <c r="K69" s="1077" t="s">
        <v>409</v>
      </c>
      <c r="L69" s="1078" t="s">
        <v>350</v>
      </c>
      <c r="M69" s="1081" t="s">
        <v>349</v>
      </c>
      <c r="N69" s="1079" t="s">
        <v>208</v>
      </c>
      <c r="O69" s="1079" t="s">
        <v>405</v>
      </c>
      <c r="P69" s="901" t="s">
        <v>403</v>
      </c>
      <c r="Q69" s="339" t="s">
        <v>404</v>
      </c>
      <c r="R69" s="761" t="s">
        <v>176</v>
      </c>
      <c r="S69" s="393" t="s">
        <v>207</v>
      </c>
      <c r="T69" s="1091" t="s">
        <v>39</v>
      </c>
      <c r="U69" s="1079" t="s">
        <v>209</v>
      </c>
      <c r="V69" s="408" t="s">
        <v>210</v>
      </c>
      <c r="AJ69" s="391" t="s">
        <v>211</v>
      </c>
      <c r="AK69" s="392" t="s">
        <v>212</v>
      </c>
      <c r="AL69" s="395" t="s">
        <v>213</v>
      </c>
      <c r="AM69" s="392" t="s">
        <v>214</v>
      </c>
      <c r="AN69" s="260"/>
    </row>
    <row r="70" spans="2:42" s="813" customFormat="1" ht="14.25" customHeight="1" thickBot="1" x14ac:dyDescent="0.25">
      <c r="B70" s="814"/>
      <c r="C70" s="762"/>
      <c r="D70" s="1090"/>
      <c r="E70" s="815"/>
      <c r="F70" s="802"/>
      <c r="G70" s="803"/>
      <c r="H70" s="802"/>
      <c r="I70" s="822"/>
      <c r="J70" s="804"/>
      <c r="K70" s="812" t="s">
        <v>215</v>
      </c>
      <c r="L70" s="322"/>
      <c r="M70" s="322"/>
      <c r="N70" s="376"/>
      <c r="O70" s="398" t="s">
        <v>64</v>
      </c>
      <c r="P70" s="721" t="s">
        <v>64</v>
      </c>
      <c r="Q70" s="375" t="s">
        <v>64</v>
      </c>
      <c r="R70" s="802"/>
      <c r="S70" s="396" t="s">
        <v>64</v>
      </c>
      <c r="T70" s="1092" t="s">
        <v>64</v>
      </c>
      <c r="U70" s="375" t="s">
        <v>64</v>
      </c>
      <c r="V70" s="398" t="s">
        <v>158</v>
      </c>
      <c r="AJ70" s="816"/>
      <c r="AK70" s="817"/>
      <c r="AL70" s="817"/>
      <c r="AM70" s="817" t="s">
        <v>64</v>
      </c>
      <c r="AN70" s="818"/>
    </row>
    <row r="71" spans="2:42" s="849" customFormat="1" ht="54.75" customHeight="1" x14ac:dyDescent="0.2">
      <c r="B71" s="846" t="s">
        <v>393</v>
      </c>
      <c r="C71" s="859"/>
      <c r="D71" s="859"/>
      <c r="E71" s="861">
        <f>C71+D71</f>
        <v>0</v>
      </c>
      <c r="F71" s="841" t="s">
        <v>185</v>
      </c>
      <c r="G71" s="819" t="str">
        <f>B52</f>
        <v>Merjeni</v>
      </c>
      <c r="H71" s="805" t="s">
        <v>135</v>
      </c>
      <c r="I71" s="806" t="s">
        <v>135</v>
      </c>
      <c r="J71" s="862"/>
      <c r="K71" s="399">
        <f>N24</f>
        <v>1</v>
      </c>
      <c r="L71" s="747">
        <f>U24</f>
        <v>1</v>
      </c>
      <c r="M71" s="747">
        <v>1</v>
      </c>
      <c r="N71" s="834">
        <f>ROUND(K71*L71*M71,5)</f>
        <v>1</v>
      </c>
      <c r="O71" s="899">
        <f>IFERROR(J71/SUM(J71:J73)*E72*N71,0)</f>
        <v>0</v>
      </c>
      <c r="P71" s="902">
        <v>0</v>
      </c>
      <c r="Q71" s="906">
        <v>0</v>
      </c>
      <c r="R71" s="841" t="s">
        <v>452</v>
      </c>
      <c r="S71" s="847" t="e">
        <f>O71*$C$73/$C$74+P71-H74</f>
        <v>#DIV/0!</v>
      </c>
      <c r="T71" s="848" t="e">
        <f>O71*$D$73/$D$74+Q71-I74</f>
        <v>#DIV/0!</v>
      </c>
      <c r="U71" s="912" t="e">
        <f>SUM(S71:T71)</f>
        <v>#DIV/0!</v>
      </c>
      <c r="V71" s="837" t="e">
        <f ca="1">ROUND(S71*$C$75+T71*$D$75,2)</f>
        <v>#DIV/0!</v>
      </c>
      <c r="AJ71" s="850" t="s">
        <v>216</v>
      </c>
      <c r="AK71" s="392" t="s">
        <v>217</v>
      </c>
      <c r="AL71" s="392" t="s">
        <v>114</v>
      </c>
      <c r="AM71" s="400"/>
      <c r="AN71" s="851"/>
    </row>
    <row r="72" spans="2:42" s="849" customFormat="1" ht="54.75" customHeight="1" x14ac:dyDescent="0.2">
      <c r="B72" s="852" t="s">
        <v>394</v>
      </c>
      <c r="C72" s="860"/>
      <c r="D72" s="860"/>
      <c r="E72" s="1030">
        <f>C72+D72</f>
        <v>0</v>
      </c>
      <c r="F72" s="842" t="s">
        <v>186</v>
      </c>
      <c r="G72" s="820" t="str">
        <f>B53</f>
        <v>Merjeni</v>
      </c>
      <c r="H72" s="823" t="s">
        <v>135</v>
      </c>
      <c r="I72" s="824" t="s">
        <v>135</v>
      </c>
      <c r="J72" s="863"/>
      <c r="K72" s="805" t="s">
        <v>135</v>
      </c>
      <c r="L72" s="625">
        <v>1</v>
      </c>
      <c r="M72" s="401">
        <v>1</v>
      </c>
      <c r="N72" s="835">
        <f>ROUND(L72*M72,5)</f>
        <v>1</v>
      </c>
      <c r="O72" s="900">
        <f>IFERROR(J72/SUM(J71:J73)*E72*N72,0)</f>
        <v>0</v>
      </c>
      <c r="P72" s="903">
        <v>0</v>
      </c>
      <c r="Q72" s="907">
        <v>0</v>
      </c>
      <c r="R72" s="842" t="s">
        <v>186</v>
      </c>
      <c r="S72" s="853" t="e">
        <f>O72*C73/C74</f>
        <v>#DIV/0!</v>
      </c>
      <c r="T72" s="854" t="e">
        <f>O72*D73/D74</f>
        <v>#DIV/0!</v>
      </c>
      <c r="U72" s="913" t="e">
        <f>SUM(S72:T72)</f>
        <v>#DIV/0!</v>
      </c>
      <c r="V72" s="838" t="e">
        <f t="shared" ref="V72:V73" ca="1" si="7">ROUND(S72*$C$75+T72*$D$75,2)</f>
        <v>#DIV/0!</v>
      </c>
      <c r="AJ72" s="850" t="s">
        <v>218</v>
      </c>
      <c r="AK72" s="392" t="s">
        <v>217</v>
      </c>
      <c r="AL72" s="392" t="s">
        <v>114</v>
      </c>
      <c r="AM72" s="400"/>
      <c r="AN72" s="851"/>
    </row>
    <row r="73" spans="2:42" s="849" customFormat="1" ht="54.75" customHeight="1" x14ac:dyDescent="0.2">
      <c r="B73" s="852" t="s">
        <v>396</v>
      </c>
      <c r="C73" s="832">
        <f>IFERROR(C72/E72,0)</f>
        <v>0</v>
      </c>
      <c r="D73" s="832">
        <f>IFERROR(D72/E72,0)</f>
        <v>0</v>
      </c>
      <c r="E73" s="833">
        <f>C73+D73</f>
        <v>0</v>
      </c>
      <c r="F73" s="843" t="s">
        <v>384</v>
      </c>
      <c r="G73" s="820" t="s">
        <v>187</v>
      </c>
      <c r="H73" s="825">
        <f ca="1">L54</f>
        <v>0</v>
      </c>
      <c r="I73" s="826">
        <f ca="1">N54</f>
        <v>0</v>
      </c>
      <c r="J73" s="863"/>
      <c r="K73" s="805" t="s">
        <v>135</v>
      </c>
      <c r="L73" s="801" t="s">
        <v>135</v>
      </c>
      <c r="M73" s="801" t="s">
        <v>135</v>
      </c>
      <c r="N73" s="835">
        <v>1</v>
      </c>
      <c r="O73" s="900">
        <f>IFERROR(J73/SUM(J71:J73)*E72*N73,0)</f>
        <v>0</v>
      </c>
      <c r="P73" s="904" t="s">
        <v>135</v>
      </c>
      <c r="Q73" s="806" t="s">
        <v>135</v>
      </c>
      <c r="R73" s="843" t="s">
        <v>384</v>
      </c>
      <c r="S73" s="855">
        <f ca="1">H73</f>
        <v>0</v>
      </c>
      <c r="T73" s="856">
        <f ca="1">I73</f>
        <v>0</v>
      </c>
      <c r="U73" s="914">
        <f ca="1">SUM(S73:T73)</f>
        <v>0</v>
      </c>
      <c r="V73" s="839">
        <f t="shared" ca="1" si="7"/>
        <v>0</v>
      </c>
      <c r="AJ73" s="850" t="s">
        <v>219</v>
      </c>
      <c r="AK73" s="392" t="s">
        <v>217</v>
      </c>
      <c r="AL73" s="392" t="s">
        <v>114</v>
      </c>
      <c r="AM73" s="400"/>
      <c r="AN73" s="851"/>
    </row>
    <row r="74" spans="2:42" s="849" customFormat="1" ht="54.75" customHeight="1" thickBot="1" x14ac:dyDescent="0.25">
      <c r="B74" s="920" t="s">
        <v>395</v>
      </c>
      <c r="C74" s="919">
        <f>IFERROR(C72/C71,0)</f>
        <v>0</v>
      </c>
      <c r="D74" s="919">
        <f>IFERROR(D72/D71,0)</f>
        <v>0</v>
      </c>
      <c r="E74" s="921">
        <f>IFERROR(E72/E71,0)</f>
        <v>0</v>
      </c>
      <c r="F74" s="844"/>
      <c r="G74" s="821"/>
      <c r="H74" s="827"/>
      <c r="I74" s="828"/>
      <c r="J74" s="916"/>
      <c r="K74" s="807"/>
      <c r="L74" s="808"/>
      <c r="M74" s="808"/>
      <c r="N74" s="836"/>
      <c r="O74" s="917"/>
      <c r="P74" s="905"/>
      <c r="Q74" s="908"/>
      <c r="R74" s="844"/>
      <c r="S74" s="857"/>
      <c r="T74" s="858"/>
      <c r="U74" s="915"/>
      <c r="V74" s="840"/>
      <c r="AJ74" s="850"/>
      <c r="AK74" s="392"/>
      <c r="AL74" s="392"/>
      <c r="AM74" s="400"/>
      <c r="AN74" s="851"/>
    </row>
    <row r="75" spans="2:42" ht="51.75" customHeight="1" thickBot="1" x14ac:dyDescent="0.25">
      <c r="B75" s="922" t="s">
        <v>410</v>
      </c>
      <c r="C75" s="928">
        <f ca="1">ROUND(M52,6)</f>
        <v>0.16700000000000001</v>
      </c>
      <c r="D75" s="928">
        <f ca="1">ROUND(O52,6)</f>
        <v>0.105</v>
      </c>
      <c r="E75" s="923"/>
      <c r="F75" s="829" t="s">
        <v>163</v>
      </c>
      <c r="G75" s="830"/>
      <c r="H75" s="831"/>
      <c r="I75" s="845"/>
      <c r="J75" s="246"/>
      <c r="K75" s="246"/>
      <c r="L75" s="246"/>
      <c r="M75" s="246"/>
      <c r="N75" s="246"/>
      <c r="O75" s="1031">
        <f>SUM(O71:O74)</f>
        <v>0</v>
      </c>
      <c r="P75" s="404"/>
      <c r="Q75" s="404"/>
      <c r="S75" s="909" t="e">
        <f>SUM(S71:S74)</f>
        <v>#DIV/0!</v>
      </c>
      <c r="T75" s="910" t="e">
        <f>SUM(T71:T74)</f>
        <v>#DIV/0!</v>
      </c>
      <c r="U75" s="910" t="e">
        <f>SUM(U71:U74)</f>
        <v>#DIV/0!</v>
      </c>
      <c r="V75" s="911" t="e">
        <f ca="1">SUM(V71:V74)</f>
        <v>#DIV/0!</v>
      </c>
      <c r="W75" s="259"/>
      <c r="X75" s="259"/>
      <c r="Y75" s="259"/>
      <c r="Z75" s="259"/>
      <c r="AA75" s="259"/>
      <c r="AB75" s="259"/>
      <c r="AC75" s="259"/>
      <c r="AD75" s="259"/>
      <c r="AE75" s="259"/>
      <c r="AF75" s="259"/>
      <c r="AG75" s="259"/>
      <c r="AH75" s="259"/>
      <c r="AI75" s="259"/>
      <c r="AJ75" s="391" t="s">
        <v>220</v>
      </c>
      <c r="AK75" s="392" t="s">
        <v>221</v>
      </c>
      <c r="AL75" s="405" t="s">
        <v>222</v>
      </c>
      <c r="AM75" s="400"/>
      <c r="AN75" s="260"/>
    </row>
    <row r="76" spans="2:42" ht="15.75" thickBot="1" x14ac:dyDescent="0.25">
      <c r="B76" s="256"/>
      <c r="C76" s="247"/>
      <c r="D76" s="388"/>
      <c r="E76" s="247"/>
      <c r="F76" s="247"/>
      <c r="G76" s="247"/>
      <c r="H76" s="388"/>
      <c r="I76" s="245"/>
      <c r="J76" s="402"/>
      <c r="K76" s="246"/>
      <c r="L76" s="246"/>
      <c r="M76" s="246"/>
      <c r="N76" s="246"/>
      <c r="O76" s="403"/>
      <c r="P76" s="404"/>
      <c r="Q76" s="404"/>
      <c r="R76" s="404"/>
      <c r="T76" s="259"/>
      <c r="U76" s="259"/>
      <c r="V76" s="259"/>
      <c r="W76" s="259"/>
      <c r="X76" s="259"/>
      <c r="Y76" s="259"/>
      <c r="Z76" s="259"/>
      <c r="AA76" s="259"/>
      <c r="AB76" s="259"/>
      <c r="AC76" s="259"/>
      <c r="AD76" s="259"/>
      <c r="AE76" s="259"/>
      <c r="AF76" s="259"/>
      <c r="AG76" s="259"/>
      <c r="AH76" s="259"/>
      <c r="AI76" s="259"/>
      <c r="AJ76" s="391"/>
      <c r="AK76" s="392"/>
      <c r="AL76" s="405"/>
      <c r="AM76" s="400"/>
      <c r="AN76" s="260"/>
    </row>
    <row r="77" spans="2:42" ht="40.5" customHeight="1" thickBot="1" x14ac:dyDescent="0.25">
      <c r="B77" s="1268" t="s">
        <v>198</v>
      </c>
      <c r="C77" s="1271" t="s">
        <v>176</v>
      </c>
      <c r="D77" s="1311" t="s">
        <v>223</v>
      </c>
      <c r="E77" s="1312"/>
      <c r="F77" s="1313"/>
      <c r="G77" s="1326" t="s">
        <v>224</v>
      </c>
      <c r="H77" s="1327"/>
      <c r="I77" s="1327"/>
      <c r="J77" s="1327"/>
      <c r="K77" s="1327"/>
      <c r="L77" s="1327"/>
      <c r="M77" s="1328"/>
      <c r="N77" s="406"/>
      <c r="O77" s="406"/>
      <c r="P77" s="406"/>
      <c r="Q77" s="255"/>
      <c r="R77" s="255"/>
      <c r="S77" s="255"/>
      <c r="T77" s="259"/>
      <c r="U77" s="259"/>
      <c r="V77" s="259"/>
      <c r="W77" s="259"/>
      <c r="X77" s="259"/>
      <c r="Y77" s="259"/>
      <c r="Z77" s="259"/>
      <c r="AA77" s="259"/>
      <c r="AB77" s="259"/>
      <c r="AC77" s="259"/>
      <c r="AD77" s="259"/>
      <c r="AE77" s="259"/>
      <c r="AF77" s="259"/>
      <c r="AG77" s="259"/>
      <c r="AH77" s="259"/>
      <c r="AI77" s="259"/>
      <c r="AJ77" s="391" t="s">
        <v>225</v>
      </c>
      <c r="AK77" s="392" t="s">
        <v>221</v>
      </c>
      <c r="AL77" s="392" t="s">
        <v>114</v>
      </c>
      <c r="AM77" s="400"/>
      <c r="AN77" s="260"/>
    </row>
    <row r="78" spans="2:42" ht="56.25" x14ac:dyDescent="0.2">
      <c r="B78" s="1269"/>
      <c r="C78" s="1273"/>
      <c r="D78" s="601" t="s">
        <v>226</v>
      </c>
      <c r="E78" s="602" t="s">
        <v>227</v>
      </c>
      <c r="F78" s="335" t="s">
        <v>414</v>
      </c>
      <c r="G78" s="338" t="s">
        <v>190</v>
      </c>
      <c r="H78" s="336" t="s">
        <v>191</v>
      </c>
      <c r="I78" s="337" t="s">
        <v>192</v>
      </c>
      <c r="J78" s="337" t="s">
        <v>412</v>
      </c>
      <c r="K78" s="337" t="s">
        <v>413</v>
      </c>
      <c r="L78" s="338" t="s">
        <v>193</v>
      </c>
      <c r="M78" s="336" t="s">
        <v>194</v>
      </c>
      <c r="N78" s="407" t="s">
        <v>228</v>
      </c>
      <c r="O78" s="407" t="s">
        <v>411</v>
      </c>
      <c r="P78" s="571" t="s">
        <v>229</v>
      </c>
      <c r="Q78" s="255"/>
      <c r="R78" s="255"/>
      <c r="S78" s="255"/>
      <c r="T78" s="255"/>
      <c r="U78" s="255"/>
      <c r="V78" s="255"/>
      <c r="W78" s="255"/>
      <c r="Z78" s="259"/>
      <c r="AA78" s="259"/>
      <c r="AB78" s="259"/>
      <c r="AC78" s="259"/>
      <c r="AD78" s="259"/>
      <c r="AE78" s="259"/>
      <c r="AF78" s="259"/>
      <c r="AG78" s="259"/>
      <c r="AH78" s="259"/>
      <c r="AI78" s="259"/>
      <c r="AJ78" s="259"/>
      <c r="AK78" s="259"/>
      <c r="AL78" s="260"/>
      <c r="AM78" s="260"/>
      <c r="AN78" s="260"/>
      <c r="AO78" s="260"/>
    </row>
    <row r="79" spans="2:42" ht="18.75" thickBot="1" x14ac:dyDescent="0.25">
      <c r="B79" s="1309"/>
      <c r="C79" s="1310"/>
      <c r="D79" s="721" t="s">
        <v>64</v>
      </c>
      <c r="E79" s="1084" t="s">
        <v>158</v>
      </c>
      <c r="F79" s="721" t="s">
        <v>183</v>
      </c>
      <c r="G79" s="323" t="s">
        <v>64</v>
      </c>
      <c r="H79" s="324" t="s">
        <v>64</v>
      </c>
      <c r="I79" s="562" t="s">
        <v>64</v>
      </c>
      <c r="J79" s="562" t="s">
        <v>64</v>
      </c>
      <c r="K79" s="562" t="s">
        <v>64</v>
      </c>
      <c r="L79" s="323" t="s">
        <v>158</v>
      </c>
      <c r="M79" s="324" t="s">
        <v>158</v>
      </c>
      <c r="N79" s="344" t="s">
        <v>158</v>
      </c>
      <c r="O79" s="344" t="s">
        <v>158</v>
      </c>
      <c r="P79" s="722" t="s">
        <v>158</v>
      </c>
      <c r="Q79" s="255"/>
      <c r="R79" s="255"/>
      <c r="S79" s="255"/>
      <c r="T79" s="255"/>
      <c r="U79" s="255"/>
      <c r="V79" s="255"/>
      <c r="W79" s="255"/>
      <c r="Z79" s="259"/>
      <c r="AA79" s="259"/>
      <c r="AB79" s="259"/>
      <c r="AC79" s="259"/>
      <c r="AD79" s="259"/>
      <c r="AE79" s="259"/>
      <c r="AF79" s="259"/>
      <c r="AG79" s="259"/>
      <c r="AH79" s="259"/>
      <c r="AI79" s="259"/>
      <c r="AJ79" s="259"/>
      <c r="AK79" s="259"/>
      <c r="AL79" s="260"/>
      <c r="AM79" s="260"/>
      <c r="AN79" s="260"/>
      <c r="AO79" s="260"/>
    </row>
    <row r="80" spans="2:42" ht="49.5" customHeight="1" x14ac:dyDescent="0.2">
      <c r="B80" s="893" t="str">
        <f t="shared" ref="B80:C82" si="8">B61</f>
        <v>Merjeni</v>
      </c>
      <c r="C80" s="896" t="str">
        <f t="shared" si="8"/>
        <v>OGREVANJE</v>
      </c>
      <c r="D80" s="940" t="e">
        <f>ROUND(U71,0)</f>
        <v>#DIV/0!</v>
      </c>
      <c r="E80" s="944" t="e">
        <f ca="1">V71</f>
        <v>#DIV/0!</v>
      </c>
      <c r="F80" s="599">
        <f ca="1">ROUND(IFERROR(E80/D80,0),15)</f>
        <v>0</v>
      </c>
      <c r="G80" s="882" t="e">
        <f>ROUND(G52-D80,0)</f>
        <v>#DIV/0!</v>
      </c>
      <c r="H80" s="883"/>
      <c r="I80" s="884" t="e">
        <f>SUM(G80:H80)</f>
        <v>#DIV/0!</v>
      </c>
      <c r="J80" s="884">
        <f ca="1">ROUND(J61,0)</f>
        <v>68571</v>
      </c>
      <c r="K80" s="924" t="e">
        <f ca="1">ROUND(I80-J80,0)</f>
        <v>#DIV/0!</v>
      </c>
      <c r="L80" s="870" t="e">
        <f ca="1">ROUND(I52-E80,2)</f>
        <v>#DIV/0!</v>
      </c>
      <c r="M80" s="871"/>
      <c r="N80" s="600" t="e">
        <f ca="1">SUM(L80:M80)</f>
        <v>#DIV/0!</v>
      </c>
      <c r="O80" s="600">
        <f ca="1">M61</f>
        <v>7199.96</v>
      </c>
      <c r="P80" s="872" t="e">
        <f ca="1">ROUND(N80-O80,2)</f>
        <v>#DIV/0!</v>
      </c>
      <c r="Q80" s="255"/>
      <c r="R80" s="255"/>
      <c r="S80" s="255"/>
      <c r="T80" s="255"/>
      <c r="U80" s="255"/>
      <c r="V80" s="255"/>
      <c r="W80" s="255"/>
      <c r="Z80" s="259"/>
      <c r="AA80" s="259"/>
      <c r="AB80" s="259"/>
      <c r="AC80" s="259"/>
      <c r="AD80" s="259"/>
      <c r="AE80" s="259"/>
      <c r="AF80" s="259"/>
      <c r="AG80" s="259"/>
      <c r="AH80" s="259"/>
      <c r="AI80" s="259"/>
      <c r="AJ80" s="259"/>
      <c r="AK80" s="259"/>
      <c r="AL80" s="260"/>
      <c r="AM80" s="260"/>
      <c r="AN80" s="260"/>
      <c r="AO80" s="260"/>
    </row>
    <row r="81" spans="2:41" ht="49.5" customHeight="1" x14ac:dyDescent="0.2">
      <c r="B81" s="894" t="str">
        <f t="shared" si="8"/>
        <v>Merjeni</v>
      </c>
      <c r="C81" s="897" t="str">
        <f t="shared" si="8"/>
        <v>SANITARNA TOPLA VODA</v>
      </c>
      <c r="D81" s="941" t="e">
        <f t="shared" ref="D81:D82" si="9">ROUND(U72,0)</f>
        <v>#DIV/0!</v>
      </c>
      <c r="E81" s="944" t="e">
        <f ca="1">V72</f>
        <v>#DIV/0!</v>
      </c>
      <c r="F81" s="409">
        <f t="shared" ref="F81:F82" ca="1" si="10">ROUND(IFERROR(E81/D81,0),15)</f>
        <v>0</v>
      </c>
      <c r="G81" s="864" t="e">
        <f>ROUND(G53-D81,0)</f>
        <v>#DIV/0!</v>
      </c>
      <c r="H81" s="865"/>
      <c r="I81" s="873" t="e">
        <f>SUM(G81:H81)</f>
        <v>#DIV/0!</v>
      </c>
      <c r="J81" s="873">
        <f ca="1">ROUND(J62,0)</f>
        <v>0</v>
      </c>
      <c r="K81" s="925" t="e">
        <f t="shared" ref="K81:K82" ca="1" si="11">ROUND(I81-J81,0)</f>
        <v>#DIV/0!</v>
      </c>
      <c r="L81" s="874" t="e">
        <f ca="1">I53-E81</f>
        <v>#DIV/0!</v>
      </c>
      <c r="M81" s="875"/>
      <c r="N81" s="410" t="e">
        <f ca="1">SUM(L81:M81)</f>
        <v>#DIV/0!</v>
      </c>
      <c r="O81" s="410">
        <f ca="1">M62</f>
        <v>0</v>
      </c>
      <c r="P81" s="876" t="e">
        <f ca="1">ROUND(N81-O81,2)</f>
        <v>#DIV/0!</v>
      </c>
      <c r="Q81" s="255"/>
      <c r="R81" s="255"/>
      <c r="S81" s="255"/>
      <c r="T81" s="255"/>
      <c r="U81" s="255"/>
      <c r="V81" s="255"/>
      <c r="W81" s="255"/>
      <c r="Z81" s="259"/>
      <c r="AA81" s="259"/>
      <c r="AB81" s="259"/>
      <c r="AC81" s="259"/>
      <c r="AD81" s="259"/>
      <c r="AE81" s="259"/>
      <c r="AF81" s="259"/>
      <c r="AG81" s="259"/>
      <c r="AH81" s="259"/>
      <c r="AI81" s="259"/>
      <c r="AJ81" s="259"/>
      <c r="AK81" s="259"/>
      <c r="AL81" s="260"/>
      <c r="AM81" s="260"/>
      <c r="AN81" s="260"/>
      <c r="AO81" s="260"/>
    </row>
    <row r="82" spans="2:41" ht="49.5" customHeight="1" x14ac:dyDescent="0.2">
      <c r="B82" s="894" t="str">
        <f t="shared" si="8"/>
        <v>Normirani</v>
      </c>
      <c r="C82" s="897" t="str">
        <f t="shared" si="8"/>
        <v>MEHANSKO PREZRAČEVANJE</v>
      </c>
      <c r="D82" s="942">
        <f t="shared" ca="1" si="9"/>
        <v>0</v>
      </c>
      <c r="E82" s="945">
        <f ca="1">V73</f>
        <v>0</v>
      </c>
      <c r="F82" s="409">
        <f t="shared" ca="1" si="10"/>
        <v>0</v>
      </c>
      <c r="G82" s="866"/>
      <c r="H82" s="867">
        <f ca="1">ROUND(I63,0)</f>
        <v>11163</v>
      </c>
      <c r="I82" s="873">
        <f ca="1">SUM(G82:H82)</f>
        <v>11163</v>
      </c>
      <c r="J82" s="873">
        <f ca="1">ROUND(J63,0)</f>
        <v>11163</v>
      </c>
      <c r="K82" s="925">
        <f t="shared" ca="1" si="11"/>
        <v>0</v>
      </c>
      <c r="L82" s="877"/>
      <c r="M82" s="878">
        <f ca="1">L63</f>
        <v>1172.1199999999999</v>
      </c>
      <c r="N82" s="410">
        <f ca="1">SUM(L82:M82)</f>
        <v>1172.1199999999999</v>
      </c>
      <c r="O82" s="410">
        <f ca="1">M63</f>
        <v>1172.1199999999999</v>
      </c>
      <c r="P82" s="876">
        <f ca="1">ROUND(N82-O82,2)</f>
        <v>0</v>
      </c>
      <c r="Q82" s="255"/>
      <c r="R82" s="255"/>
      <c r="S82" s="255"/>
      <c r="T82" s="255"/>
      <c r="U82" s="255"/>
      <c r="V82" s="255"/>
      <c r="W82" s="255"/>
      <c r="Z82" s="259"/>
      <c r="AA82" s="259"/>
      <c r="AB82" s="259"/>
      <c r="AC82" s="259"/>
      <c r="AD82" s="259"/>
      <c r="AE82" s="259"/>
      <c r="AF82" s="259"/>
      <c r="AG82" s="259"/>
      <c r="AH82" s="259"/>
      <c r="AI82" s="259"/>
      <c r="AJ82" s="259"/>
      <c r="AK82" s="259"/>
      <c r="AL82" s="260"/>
      <c r="AM82" s="260"/>
      <c r="AN82" s="260"/>
      <c r="AO82" s="260"/>
    </row>
    <row r="83" spans="2:41" ht="49.5" customHeight="1" thickBot="1" x14ac:dyDescent="0.25">
      <c r="B83" s="895"/>
      <c r="C83" s="898"/>
      <c r="D83" s="942"/>
      <c r="E83" s="946"/>
      <c r="F83" s="885"/>
      <c r="G83" s="886"/>
      <c r="H83" s="1075"/>
      <c r="I83" s="887"/>
      <c r="J83" s="887"/>
      <c r="K83" s="926"/>
      <c r="L83" s="888"/>
      <c r="M83" s="889"/>
      <c r="N83" s="890"/>
      <c r="O83" s="890"/>
      <c r="P83" s="891"/>
      <c r="Q83" s="255"/>
      <c r="R83" s="255"/>
      <c r="S83" s="255"/>
      <c r="T83" s="255"/>
      <c r="U83" s="255"/>
      <c r="V83" s="255"/>
      <c r="W83" s="255"/>
      <c r="Z83" s="259"/>
      <c r="AA83" s="259"/>
      <c r="AB83" s="259"/>
      <c r="AC83" s="259"/>
      <c r="AD83" s="259"/>
      <c r="AE83" s="259"/>
      <c r="AF83" s="259"/>
      <c r="AG83" s="259"/>
      <c r="AH83" s="259"/>
      <c r="AI83" s="259"/>
      <c r="AJ83" s="259"/>
      <c r="AK83" s="259"/>
      <c r="AL83" s="260"/>
      <c r="AM83" s="260"/>
      <c r="AN83" s="260"/>
      <c r="AO83" s="260"/>
    </row>
    <row r="84" spans="2:41" ht="39" customHeight="1" thickBot="1" x14ac:dyDescent="0.25">
      <c r="B84" s="892"/>
      <c r="C84" s="1076" t="s">
        <v>163</v>
      </c>
      <c r="D84" s="943" t="e">
        <f>SUM(D80:D83)</f>
        <v>#DIV/0!</v>
      </c>
      <c r="E84" s="947" t="e">
        <f ca="1">SUM(E80:E83)</f>
        <v>#DIV/0!</v>
      </c>
      <c r="F84" s="411">
        <f ca="1">ROUND(IFERROR(E84/D84,0),5)</f>
        <v>0</v>
      </c>
      <c r="G84" s="868" t="e">
        <f>SUM(G80:G83)</f>
        <v>#DIV/0!</v>
      </c>
      <c r="H84" s="869">
        <f ca="1">SUM(H80:H83)</f>
        <v>11163</v>
      </c>
      <c r="I84" s="879" t="e">
        <f>SUM(G84:H84)</f>
        <v>#DIV/0!</v>
      </c>
      <c r="J84" s="879">
        <f t="shared" ref="J84:P84" ca="1" si="12">SUM(J80:J83)</f>
        <v>79734</v>
      </c>
      <c r="K84" s="927" t="e">
        <f t="shared" ca="1" si="12"/>
        <v>#DIV/0!</v>
      </c>
      <c r="L84" s="385" t="e">
        <f t="shared" ca="1" si="12"/>
        <v>#DIV/0!</v>
      </c>
      <c r="M84" s="880">
        <f t="shared" ca="1" si="12"/>
        <v>1172.1199999999999</v>
      </c>
      <c r="N84" s="412" t="e">
        <f t="shared" ca="1" si="12"/>
        <v>#DIV/0!</v>
      </c>
      <c r="O84" s="412">
        <f t="shared" ca="1" si="12"/>
        <v>8372.08</v>
      </c>
      <c r="P84" s="881" t="e">
        <f t="shared" ca="1" si="12"/>
        <v>#DIV/0!</v>
      </c>
      <c r="Q84" s="255"/>
      <c r="R84" s="255"/>
      <c r="S84" s="255"/>
      <c r="T84" s="255"/>
      <c r="U84" s="255"/>
      <c r="V84" s="255"/>
      <c r="W84" s="255"/>
      <c r="Z84" s="259"/>
      <c r="AA84" s="259"/>
      <c r="AB84" s="259"/>
      <c r="AC84" s="259"/>
      <c r="AD84" s="259"/>
      <c r="AE84" s="259"/>
      <c r="AF84" s="259"/>
      <c r="AG84" s="259"/>
      <c r="AH84" s="259"/>
      <c r="AI84" s="259"/>
      <c r="AJ84" s="259"/>
      <c r="AK84" s="259"/>
      <c r="AL84" s="260"/>
      <c r="AM84" s="260"/>
      <c r="AN84" s="260"/>
      <c r="AO84" s="260"/>
    </row>
    <row r="85" spans="2:41" ht="18" x14ac:dyDescent="0.2">
      <c r="B85" s="256"/>
      <c r="C85" s="247"/>
      <c r="D85" s="247"/>
      <c r="E85" s="413"/>
      <c r="F85" s="247"/>
      <c r="G85" s="247"/>
      <c r="H85" s="247"/>
      <c r="I85" s="245"/>
      <c r="J85" s="246"/>
      <c r="K85" s="414"/>
      <c r="L85" s="246"/>
      <c r="M85" s="414"/>
      <c r="N85" s="246"/>
      <c r="O85" s="247"/>
      <c r="P85" s="247"/>
      <c r="Q85" s="255"/>
      <c r="R85" s="255"/>
      <c r="S85" s="255"/>
      <c r="T85" s="255"/>
      <c r="U85" s="255"/>
      <c r="V85" s="255"/>
      <c r="Y85" s="259"/>
      <c r="Z85" s="259"/>
      <c r="AA85" s="259"/>
      <c r="AB85" s="259"/>
      <c r="AC85" s="259"/>
      <c r="AD85" s="259"/>
      <c r="AE85" s="259"/>
      <c r="AF85" s="259"/>
      <c r="AG85" s="259"/>
      <c r="AH85" s="259"/>
      <c r="AI85" s="259"/>
      <c r="AJ85" s="259"/>
      <c r="AK85" s="260"/>
      <c r="AL85" s="260"/>
      <c r="AM85" s="260"/>
      <c r="AN85" s="260"/>
    </row>
    <row r="86" spans="2:41" ht="18.75" thickBot="1" x14ac:dyDescent="0.25">
      <c r="B86" s="256"/>
      <c r="C86" s="247"/>
      <c r="D86" s="247"/>
      <c r="E86" s="247"/>
      <c r="F86" s="247"/>
      <c r="G86" s="247"/>
      <c r="H86" s="247"/>
      <c r="I86" s="245"/>
      <c r="J86" s="246"/>
      <c r="K86" s="246"/>
      <c r="L86" s="246"/>
      <c r="M86" s="246"/>
      <c r="N86" s="246"/>
      <c r="O86" s="247"/>
      <c r="P86" s="247"/>
      <c r="Q86" s="247"/>
      <c r="R86" s="247"/>
      <c r="S86" s="247"/>
      <c r="T86" s="255"/>
      <c r="U86" s="255"/>
      <c r="V86" s="255"/>
      <c r="Y86" s="259"/>
      <c r="Z86" s="259"/>
      <c r="AA86" s="259"/>
      <c r="AB86" s="259"/>
      <c r="AC86" s="259"/>
      <c r="AD86" s="259"/>
      <c r="AE86" s="259"/>
      <c r="AF86" s="259"/>
      <c r="AG86" s="259"/>
      <c r="AH86" s="259"/>
      <c r="AI86" s="259"/>
      <c r="AJ86" s="259"/>
      <c r="AK86" s="260"/>
      <c r="AL86" s="260"/>
      <c r="AM86" s="260"/>
      <c r="AN86" s="260"/>
    </row>
    <row r="87" spans="2:41" ht="30.75" thickBot="1" x14ac:dyDescent="0.25">
      <c r="B87" s="302" t="s">
        <v>230</v>
      </c>
      <c r="C87" s="303"/>
      <c r="D87" s="303"/>
      <c r="E87" s="303"/>
      <c r="F87" s="303"/>
      <c r="G87" s="303"/>
      <c r="H87" s="303"/>
      <c r="I87" s="303"/>
      <c r="J87" s="303"/>
      <c r="K87" s="303"/>
      <c r="L87" s="303"/>
      <c r="M87" s="303"/>
      <c r="N87" s="303"/>
      <c r="O87" s="303"/>
      <c r="P87" s="303"/>
      <c r="Q87" s="303"/>
      <c r="R87" s="303"/>
      <c r="S87" s="303"/>
      <c r="T87" s="303"/>
      <c r="U87" s="303"/>
      <c r="V87" s="304"/>
      <c r="Y87" s="259"/>
      <c r="Z87" s="259"/>
      <c r="AA87" s="259"/>
      <c r="AB87" s="259"/>
      <c r="AC87" s="259"/>
      <c r="AD87" s="259"/>
      <c r="AE87" s="259"/>
      <c r="AF87" s="259"/>
      <c r="AG87" s="259"/>
      <c r="AH87" s="259"/>
      <c r="AI87" s="259"/>
      <c r="AJ87" s="259"/>
      <c r="AK87" s="260"/>
      <c r="AL87" s="260"/>
      <c r="AM87" s="260"/>
      <c r="AN87" s="260"/>
    </row>
    <row r="88" spans="2:41" ht="18.75" thickBot="1" x14ac:dyDescent="0.25">
      <c r="B88" s="256"/>
      <c r="C88" s="247"/>
      <c r="D88" s="247"/>
      <c r="E88" s="247"/>
      <c r="F88" s="247"/>
      <c r="G88" s="247"/>
      <c r="H88" s="247"/>
      <c r="I88" s="245"/>
      <c r="J88" s="246"/>
      <c r="K88" s="246"/>
      <c r="L88" s="246"/>
      <c r="M88" s="246"/>
      <c r="N88" s="246"/>
      <c r="O88" s="247"/>
      <c r="P88" s="247"/>
      <c r="Q88" s="247"/>
      <c r="R88" s="247"/>
      <c r="S88" s="247"/>
      <c r="T88" s="255"/>
      <c r="U88" s="255"/>
      <c r="V88" s="255"/>
      <c r="Y88" s="259"/>
      <c r="Z88" s="259"/>
      <c r="AA88" s="259"/>
      <c r="AB88" s="259"/>
      <c r="AC88" s="259"/>
      <c r="AD88" s="259"/>
      <c r="AE88" s="259"/>
      <c r="AF88" s="259"/>
      <c r="AG88" s="259"/>
      <c r="AH88" s="259"/>
      <c r="AI88" s="259"/>
      <c r="AJ88" s="259"/>
      <c r="AK88" s="260"/>
      <c r="AL88" s="260"/>
      <c r="AM88" s="260"/>
      <c r="AN88" s="260"/>
    </row>
    <row r="89" spans="2:41" ht="35.25" customHeight="1" thickBot="1" x14ac:dyDescent="0.25">
      <c r="B89" s="361" t="s">
        <v>174</v>
      </c>
      <c r="C89" s="316"/>
      <c r="D89" s="316"/>
      <c r="E89" s="316"/>
      <c r="F89" s="316"/>
      <c r="G89" s="316"/>
      <c r="H89" s="316"/>
      <c r="I89" s="316"/>
      <c r="J89" s="316"/>
      <c r="K89" s="316"/>
      <c r="L89" s="316"/>
      <c r="M89" s="316"/>
      <c r="N89" s="316"/>
      <c r="O89" s="317"/>
      <c r="P89" s="246"/>
      <c r="Q89" s="246"/>
      <c r="R89" s="246"/>
      <c r="S89" s="246"/>
      <c r="T89" s="246"/>
      <c r="U89" s="246"/>
      <c r="V89" s="246"/>
      <c r="Y89" s="259"/>
      <c r="Z89" s="259"/>
      <c r="AA89" s="259"/>
      <c r="AB89" s="259"/>
      <c r="AC89" s="259"/>
      <c r="AD89" s="259"/>
      <c r="AE89" s="259"/>
      <c r="AF89" s="259"/>
      <c r="AG89" s="259"/>
      <c r="AH89" s="259"/>
      <c r="AI89" s="259"/>
      <c r="AJ89" s="259"/>
      <c r="AK89" s="260"/>
      <c r="AL89" s="260"/>
      <c r="AM89" s="260"/>
      <c r="AN89" s="260"/>
    </row>
    <row r="90" spans="2:41" ht="25.5" customHeight="1" thickBot="1" x14ac:dyDescent="0.25">
      <c r="B90" s="1268" t="s">
        <v>175</v>
      </c>
      <c r="C90" s="1271" t="s">
        <v>231</v>
      </c>
      <c r="D90" s="1289" t="s">
        <v>338</v>
      </c>
      <c r="E90" s="1268" t="s">
        <v>336</v>
      </c>
      <c r="F90" s="1277" t="s">
        <v>337</v>
      </c>
      <c r="G90" s="1302" t="s">
        <v>234</v>
      </c>
      <c r="H90" s="1311" t="s">
        <v>235</v>
      </c>
      <c r="I90" s="1312"/>
      <c r="J90" s="1313"/>
      <c r="K90" s="1311" t="s">
        <v>188</v>
      </c>
      <c r="L90" s="1312"/>
      <c r="M90" s="1312"/>
      <c r="N90" s="1312"/>
      <c r="O90" s="1313"/>
      <c r="P90" s="246"/>
      <c r="Q90" s="246"/>
      <c r="R90" s="246"/>
      <c r="S90" s="246"/>
      <c r="T90" s="246"/>
      <c r="U90" s="246"/>
      <c r="V90" s="246"/>
      <c r="Y90" s="259"/>
      <c r="Z90" s="259"/>
      <c r="AA90" s="259"/>
      <c r="AB90" s="259"/>
      <c r="AC90" s="259"/>
      <c r="AD90" s="259"/>
      <c r="AE90" s="259"/>
      <c r="AF90" s="259"/>
      <c r="AG90" s="259"/>
      <c r="AH90" s="259"/>
      <c r="AI90" s="259"/>
      <c r="AJ90" s="259"/>
      <c r="AK90" s="260"/>
      <c r="AL90" s="260"/>
      <c r="AM90" s="260"/>
      <c r="AN90" s="260"/>
    </row>
    <row r="91" spans="2:41" ht="25.5" x14ac:dyDescent="0.2">
      <c r="B91" s="1270"/>
      <c r="C91" s="1275"/>
      <c r="D91" s="1290"/>
      <c r="E91" s="1270"/>
      <c r="F91" s="1279"/>
      <c r="G91" s="1304"/>
      <c r="H91" s="374" t="s">
        <v>339</v>
      </c>
      <c r="I91" s="337" t="s">
        <v>237</v>
      </c>
      <c r="J91" s="339" t="s">
        <v>238</v>
      </c>
      <c r="K91" s="335" t="s">
        <v>340</v>
      </c>
      <c r="L91" s="336" t="s">
        <v>341</v>
      </c>
      <c r="M91" s="335" t="s">
        <v>342</v>
      </c>
      <c r="N91" s="336" t="s">
        <v>343</v>
      </c>
      <c r="O91" s="341" t="s">
        <v>195</v>
      </c>
      <c r="P91" s="415"/>
      <c r="Q91" s="415"/>
      <c r="R91" s="415"/>
      <c r="S91" s="415"/>
      <c r="T91" s="415"/>
      <c r="U91" s="415"/>
      <c r="V91" s="415"/>
      <c r="Y91" s="259"/>
      <c r="Z91" s="259"/>
      <c r="AA91" s="259"/>
      <c r="AB91" s="259"/>
      <c r="AC91" s="259"/>
      <c r="AD91" s="259"/>
      <c r="AE91" s="259"/>
      <c r="AF91" s="259"/>
      <c r="AG91" s="259"/>
      <c r="AH91" s="259"/>
      <c r="AI91" s="259"/>
      <c r="AJ91" s="259"/>
      <c r="AK91" s="260"/>
      <c r="AL91" s="260"/>
      <c r="AM91" s="260"/>
      <c r="AN91" s="260"/>
    </row>
    <row r="92" spans="2:41" ht="21.75" customHeight="1" thickBot="1" x14ac:dyDescent="0.25">
      <c r="B92" s="362"/>
      <c r="C92" s="416"/>
      <c r="D92" s="417"/>
      <c r="E92" s="342" t="s">
        <v>64</v>
      </c>
      <c r="F92" s="343" t="s">
        <v>182</v>
      </c>
      <c r="G92" s="418" t="s">
        <v>158</v>
      </c>
      <c r="H92" s="419" t="s">
        <v>64</v>
      </c>
      <c r="I92" s="1084" t="s">
        <v>183</v>
      </c>
      <c r="J92" s="375" t="s">
        <v>158</v>
      </c>
      <c r="K92" s="721" t="s">
        <v>64</v>
      </c>
      <c r="L92" s="1080" t="s">
        <v>64</v>
      </c>
      <c r="M92" s="1086" t="s">
        <v>158</v>
      </c>
      <c r="N92" s="324" t="s">
        <v>158</v>
      </c>
      <c r="O92" s="345" t="s">
        <v>158</v>
      </c>
      <c r="P92" s="415"/>
      <c r="Q92" s="415"/>
      <c r="R92" s="415"/>
      <c r="S92" s="415"/>
      <c r="T92" s="415"/>
      <c r="U92" s="415"/>
      <c r="V92" s="415"/>
      <c r="Y92" s="259"/>
      <c r="Z92" s="259"/>
      <c r="AA92" s="259"/>
      <c r="AB92" s="259"/>
      <c r="AC92" s="259"/>
      <c r="AD92" s="259"/>
      <c r="AE92" s="259"/>
      <c r="AF92" s="259"/>
      <c r="AG92" s="259"/>
      <c r="AH92" s="259"/>
      <c r="AI92" s="259"/>
      <c r="AJ92" s="259"/>
      <c r="AK92" s="260"/>
      <c r="AL92" s="260"/>
      <c r="AM92" s="260"/>
      <c r="AN92" s="260"/>
    </row>
    <row r="93" spans="2:41" ht="33" customHeight="1" x14ac:dyDescent="0.2">
      <c r="B93" s="421" t="s">
        <v>187</v>
      </c>
      <c r="C93" s="422" t="s">
        <v>120</v>
      </c>
      <c r="D93" s="423" t="s">
        <v>239</v>
      </c>
      <c r="E93" s="424">
        <f>INDEX('Referenčne količine'!$D41:$G41,MATCH(ObračunOB004!$C$3,'Referenčne količine'!$D$6:$G$6))</f>
        <v>14000</v>
      </c>
      <c r="F93" s="1211">
        <f>INDEX('Referenčne količine'!$D44:$G44,MATCH(ObračunOB004!$C$3,'Referenčne količine'!$D$6:$G$6))/1000</f>
        <v>0.16700000000000001</v>
      </c>
      <c r="G93" s="369">
        <f>E93*$F$93</f>
        <v>2338</v>
      </c>
      <c r="H93" s="327" cm="1">
        <f t="array" aca="1" ref="H93" ca="1">INDIRECT($C$3&amp;"!I90")</f>
        <v>0</v>
      </c>
      <c r="I93" s="1211" cm="1">
        <f t="array" aca="1" ref="I93" ca="1">INDIRECT($C$3&amp;"!E76")/1000</f>
        <v>0.16700000000000001</v>
      </c>
      <c r="J93" s="354">
        <f ca="1">H93*$I$93</f>
        <v>0</v>
      </c>
      <c r="K93" s="425">
        <v>0</v>
      </c>
      <c r="L93" s="580">
        <f ca="1">IF(D93="DA",E93-H93,0)</f>
        <v>14000</v>
      </c>
      <c r="M93" s="427">
        <f ca="1">IF(D93="DA",H93*(F93-I93),0)</f>
        <v>0</v>
      </c>
      <c r="N93" s="428">
        <f ca="1">IF(D93="DA",E93*$F$93-H93*$I$93,0)</f>
        <v>2338</v>
      </c>
      <c r="O93" s="349">
        <f ca="1">SUM(M93:N93)</f>
        <v>2338</v>
      </c>
      <c r="P93" s="251"/>
      <c r="Q93" s="251"/>
      <c r="R93" s="251"/>
      <c r="S93" s="251"/>
      <c r="T93" s="251"/>
      <c r="U93" s="251"/>
      <c r="V93" s="251"/>
      <c r="Y93" s="259"/>
      <c r="Z93" s="259"/>
      <c r="AA93" s="259"/>
      <c r="AB93" s="259"/>
      <c r="AC93" s="259"/>
      <c r="AD93" s="259"/>
      <c r="AE93" s="259"/>
      <c r="AF93" s="259"/>
      <c r="AG93" s="259"/>
      <c r="AH93" s="259"/>
      <c r="AI93" s="259"/>
      <c r="AJ93" s="259"/>
      <c r="AK93" s="260"/>
      <c r="AL93" s="260"/>
      <c r="AM93" s="260"/>
      <c r="AN93" s="260"/>
    </row>
    <row r="94" spans="2:41" ht="33" customHeight="1" x14ac:dyDescent="0.2">
      <c r="B94" s="577" t="s">
        <v>187</v>
      </c>
      <c r="C94" s="572" t="s">
        <v>300</v>
      </c>
      <c r="D94" s="573" t="s">
        <v>239</v>
      </c>
      <c r="E94" s="574">
        <f>INDEX('Referenčne količine'!$D42:$G42,MATCH(ObračunOB004!$C$3,'Referenčne količine'!$D$6:$G$6))</f>
        <v>0</v>
      </c>
      <c r="F94" s="1212"/>
      <c r="G94" s="328">
        <f t="shared" ref="G94:G95" si="13">E94*$F$93</f>
        <v>0</v>
      </c>
      <c r="H94" s="327" cm="1">
        <f t="array" aca="1" ref="H94" ca="1">INDIRECT($C$3&amp;"!J90")</f>
        <v>0</v>
      </c>
      <c r="I94" s="1212"/>
      <c r="J94" s="354">
        <f t="shared" ref="J94:J95" ca="1" si="14">H94*$I$93</f>
        <v>0</v>
      </c>
      <c r="K94" s="425">
        <v>0</v>
      </c>
      <c r="L94" s="575">
        <f ca="1">IF(D94="DA",E94-H94,0)</f>
        <v>0</v>
      </c>
      <c r="M94" s="434">
        <f ca="1">IF(D94="DA",H94*(F94-I94),0)</f>
        <v>0</v>
      </c>
      <c r="N94" s="576">
        <f ca="1">IF(D94="DA",E94*$F$93-H94*$I$93,0)</f>
        <v>0</v>
      </c>
      <c r="O94" s="581">
        <f t="shared" ref="O94:O95" ca="1" si="15">SUM(M94:N94)</f>
        <v>0</v>
      </c>
      <c r="P94" s="251"/>
      <c r="Q94" s="251"/>
      <c r="R94" s="251"/>
      <c r="S94" s="251"/>
      <c r="T94" s="251"/>
      <c r="U94" s="251"/>
      <c r="V94" s="251"/>
      <c r="Y94" s="259"/>
      <c r="Z94" s="259"/>
      <c r="AA94" s="259"/>
      <c r="AB94" s="259"/>
      <c r="AC94" s="259"/>
      <c r="AD94" s="259"/>
      <c r="AE94" s="259"/>
      <c r="AF94" s="259"/>
      <c r="AG94" s="259"/>
      <c r="AH94" s="259"/>
      <c r="AI94" s="259"/>
      <c r="AJ94" s="259"/>
      <c r="AK94" s="260"/>
      <c r="AL94" s="260"/>
      <c r="AM94" s="260"/>
      <c r="AN94" s="260"/>
    </row>
    <row r="95" spans="2:41" ht="30.75" thickBot="1" x14ac:dyDescent="0.25">
      <c r="B95" s="429" t="s">
        <v>418</v>
      </c>
      <c r="C95" s="430" t="s">
        <v>240</v>
      </c>
      <c r="D95" s="431" t="s">
        <v>241</v>
      </c>
      <c r="E95" s="432">
        <f>INDEX('Referenčne količine'!$D43:$G43,MATCH(ObračunOB004!$C$3,'Referenčne količine'!$D$6:$G$6))</f>
        <v>15184.766666666666</v>
      </c>
      <c r="F95" s="1213"/>
      <c r="G95" s="371">
        <f t="shared" si="13"/>
        <v>2535.8560333333335</v>
      </c>
      <c r="H95" s="327" cm="1">
        <f t="array" aca="1" ref="H95" ca="1">INDIRECT($C$3&amp;"!K90")</f>
        <v>0</v>
      </c>
      <c r="I95" s="1314"/>
      <c r="J95" s="380">
        <f t="shared" ca="1" si="14"/>
        <v>0</v>
      </c>
      <c r="K95" s="425">
        <f>IF(D95="DA",E95-H95,0)</f>
        <v>0</v>
      </c>
      <c r="L95" s="433"/>
      <c r="M95" s="434">
        <f>IF(D95="DA",G95-J95,0)</f>
        <v>0</v>
      </c>
      <c r="N95" s="435"/>
      <c r="O95" s="457">
        <f t="shared" si="15"/>
        <v>0</v>
      </c>
      <c r="P95" s="251"/>
      <c r="Q95" s="251"/>
      <c r="R95" s="251"/>
      <c r="S95" s="251"/>
      <c r="T95" s="251"/>
      <c r="U95" s="251"/>
      <c r="V95" s="251"/>
      <c r="Y95" s="259"/>
      <c r="Z95" s="259"/>
      <c r="AA95" s="259"/>
      <c r="AB95" s="259"/>
      <c r="AC95" s="259"/>
      <c r="AD95" s="259"/>
      <c r="AE95" s="259"/>
      <c r="AF95" s="259"/>
      <c r="AG95" s="259"/>
      <c r="AH95" s="259"/>
      <c r="AI95" s="259"/>
      <c r="AJ95" s="259"/>
      <c r="AK95" s="260"/>
      <c r="AL95" s="260"/>
      <c r="AM95" s="260"/>
      <c r="AN95" s="260"/>
    </row>
    <row r="96" spans="2:41" ht="33" customHeight="1" thickBot="1" x14ac:dyDescent="0.25">
      <c r="B96" s="1203" t="s">
        <v>163</v>
      </c>
      <c r="C96" s="1204"/>
      <c r="D96" s="1205"/>
      <c r="E96" s="330">
        <f>SUM(E93:E95)</f>
        <v>29184.766666666666</v>
      </c>
      <c r="F96" s="331"/>
      <c r="G96" s="334">
        <f>SUM(G93:G95)</f>
        <v>4873.8560333333335</v>
      </c>
      <c r="H96" s="436">
        <f ca="1">SUM(H93:H95)</f>
        <v>0</v>
      </c>
      <c r="I96" s="437"/>
      <c r="J96" s="438">
        <f t="shared" ref="J96:O96" ca="1" si="16">SUM(J93:J95)</f>
        <v>0</v>
      </c>
      <c r="K96" s="439">
        <f t="shared" si="16"/>
        <v>0</v>
      </c>
      <c r="L96" s="440">
        <f t="shared" ca="1" si="16"/>
        <v>14000</v>
      </c>
      <c r="M96" s="441">
        <f t="shared" ca="1" si="16"/>
        <v>0</v>
      </c>
      <c r="N96" s="441">
        <f t="shared" ca="1" si="16"/>
        <v>2338</v>
      </c>
      <c r="O96" s="359">
        <f t="shared" ca="1" si="16"/>
        <v>2338</v>
      </c>
      <c r="P96" s="246"/>
      <c r="Q96" s="246"/>
      <c r="R96" s="246"/>
      <c r="S96" s="246"/>
      <c r="T96" s="246"/>
      <c r="U96" s="246"/>
      <c r="V96" s="246"/>
      <c r="Y96" s="259"/>
      <c r="Z96" s="259"/>
      <c r="AA96" s="259"/>
      <c r="AB96" s="259"/>
      <c r="AC96" s="259"/>
      <c r="AD96" s="259"/>
      <c r="AE96" s="259"/>
      <c r="AF96" s="259"/>
      <c r="AG96" s="259"/>
      <c r="AH96" s="259"/>
      <c r="AI96" s="259"/>
      <c r="AJ96" s="259"/>
      <c r="AK96" s="260"/>
      <c r="AL96" s="260"/>
      <c r="AM96" s="260"/>
      <c r="AN96" s="260"/>
    </row>
    <row r="97" spans="2:40" ht="15.75" thickBot="1" x14ac:dyDescent="0.25">
      <c r="B97" s="248" t="s">
        <v>196</v>
      </c>
      <c r="Y97" s="259"/>
      <c r="Z97" s="259"/>
      <c r="AA97" s="259"/>
      <c r="AB97" s="259"/>
      <c r="AC97" s="259"/>
      <c r="AD97" s="259"/>
      <c r="AE97" s="259"/>
      <c r="AF97" s="259"/>
      <c r="AG97" s="259"/>
      <c r="AH97" s="259"/>
      <c r="AI97" s="259"/>
      <c r="AJ97" s="259"/>
      <c r="AK97" s="260"/>
      <c r="AL97" s="260"/>
      <c r="AM97" s="260"/>
      <c r="AN97" s="260"/>
    </row>
    <row r="98" spans="2:40" ht="18.75" thickBot="1" x14ac:dyDescent="0.25">
      <c r="B98" s="361" t="s">
        <v>197</v>
      </c>
      <c r="C98" s="316"/>
      <c r="D98" s="316"/>
      <c r="E98" s="316"/>
      <c r="F98" s="316"/>
      <c r="G98" s="316"/>
      <c r="H98" s="316"/>
      <c r="I98" s="316"/>
      <c r="J98" s="316"/>
      <c r="K98" s="316"/>
      <c r="L98" s="316"/>
      <c r="M98" s="316"/>
      <c r="N98" s="316"/>
      <c r="O98" s="317"/>
      <c r="Y98" s="259"/>
      <c r="Z98" s="259"/>
      <c r="AA98" s="259"/>
      <c r="AB98" s="259"/>
      <c r="AC98" s="259"/>
      <c r="AD98" s="259"/>
      <c r="AE98" s="259"/>
      <c r="AF98" s="259"/>
      <c r="AG98" s="259"/>
      <c r="AH98" s="259"/>
      <c r="AI98" s="259"/>
      <c r="AJ98" s="259"/>
      <c r="AK98" s="260"/>
      <c r="AL98" s="260"/>
      <c r="AM98" s="260"/>
      <c r="AN98" s="260"/>
    </row>
    <row r="99" spans="2:40" ht="28.5" customHeight="1" thickBot="1" x14ac:dyDescent="0.25">
      <c r="B99" s="1268" t="s">
        <v>175</v>
      </c>
      <c r="C99" s="1271" t="s">
        <v>231</v>
      </c>
      <c r="D99" s="1289" t="s">
        <v>199</v>
      </c>
      <c r="E99" s="1268" t="s">
        <v>232</v>
      </c>
      <c r="F99" s="1277" t="s">
        <v>233</v>
      </c>
      <c r="G99" s="1302" t="s">
        <v>234</v>
      </c>
      <c r="H99" s="1311" t="s">
        <v>235</v>
      </c>
      <c r="I99" s="1312"/>
      <c r="J99" s="1313"/>
      <c r="K99" s="1311" t="s">
        <v>188</v>
      </c>
      <c r="L99" s="1312"/>
      <c r="M99" s="1312"/>
      <c r="N99" s="1312"/>
      <c r="O99" s="1313"/>
      <c r="Y99" s="259"/>
      <c r="Z99" s="259"/>
      <c r="AA99" s="259"/>
      <c r="AB99" s="259"/>
      <c r="AC99" s="259"/>
      <c r="AD99" s="259"/>
      <c r="AE99" s="259"/>
      <c r="AF99" s="259"/>
      <c r="AG99" s="259"/>
      <c r="AH99" s="259"/>
      <c r="AI99" s="259"/>
      <c r="AJ99" s="259"/>
      <c r="AK99" s="260"/>
      <c r="AL99" s="260"/>
      <c r="AM99" s="260"/>
      <c r="AN99" s="260"/>
    </row>
    <row r="100" spans="2:40" ht="38.25" x14ac:dyDescent="0.2">
      <c r="B100" s="1270"/>
      <c r="C100" s="1275"/>
      <c r="D100" s="1290"/>
      <c r="E100" s="1270"/>
      <c r="F100" s="1279"/>
      <c r="G100" s="1304"/>
      <c r="H100" s="374" t="s">
        <v>236</v>
      </c>
      <c r="I100" s="337" t="s">
        <v>237</v>
      </c>
      <c r="J100" s="339" t="s">
        <v>238</v>
      </c>
      <c r="K100" s="335" t="s">
        <v>344</v>
      </c>
      <c r="L100" s="336" t="s">
        <v>345</v>
      </c>
      <c r="M100" s="335" t="s">
        <v>346</v>
      </c>
      <c r="N100" s="336" t="s">
        <v>347</v>
      </c>
      <c r="O100" s="341" t="s">
        <v>195</v>
      </c>
      <c r="Y100" s="259"/>
      <c r="Z100" s="259"/>
      <c r="AA100" s="259"/>
      <c r="AB100" s="259"/>
      <c r="AC100" s="259"/>
      <c r="AD100" s="259"/>
      <c r="AE100" s="259"/>
      <c r="AF100" s="259"/>
      <c r="AG100" s="259"/>
      <c r="AH100" s="259"/>
      <c r="AI100" s="259"/>
      <c r="AJ100" s="259"/>
      <c r="AK100" s="260"/>
      <c r="AL100" s="260"/>
      <c r="AM100" s="260"/>
      <c r="AN100" s="260"/>
    </row>
    <row r="101" spans="2:40" ht="15.75" thickBot="1" x14ac:dyDescent="0.25">
      <c r="B101" s="362"/>
      <c r="C101" s="442"/>
      <c r="D101" s="443"/>
      <c r="E101" s="342" t="s">
        <v>64</v>
      </c>
      <c r="F101" s="343" t="s">
        <v>182</v>
      </c>
      <c r="G101" s="418" t="s">
        <v>158</v>
      </c>
      <c r="H101" s="419" t="s">
        <v>64</v>
      </c>
      <c r="I101" s="1084" t="s">
        <v>183</v>
      </c>
      <c r="J101" s="375" t="s">
        <v>158</v>
      </c>
      <c r="K101" s="721" t="s">
        <v>64</v>
      </c>
      <c r="L101" s="1080" t="s">
        <v>64</v>
      </c>
      <c r="M101" s="1086" t="s">
        <v>158</v>
      </c>
      <c r="N101" s="324" t="s">
        <v>158</v>
      </c>
      <c r="O101" s="345" t="s">
        <v>158</v>
      </c>
      <c r="Y101" s="259"/>
      <c r="Z101" s="259"/>
      <c r="AA101" s="259"/>
      <c r="AB101" s="259"/>
      <c r="AC101" s="259"/>
      <c r="AD101" s="259"/>
      <c r="AE101" s="259"/>
      <c r="AF101" s="259"/>
      <c r="AG101" s="259"/>
      <c r="AH101" s="259"/>
      <c r="AI101" s="259"/>
      <c r="AJ101" s="259"/>
      <c r="AK101" s="260"/>
      <c r="AL101" s="260"/>
      <c r="AM101" s="260"/>
      <c r="AN101" s="260"/>
    </row>
    <row r="102" spans="2:40" ht="42" customHeight="1" x14ac:dyDescent="0.2">
      <c r="B102" s="421" t="s">
        <v>187</v>
      </c>
      <c r="C102" s="444" t="s">
        <v>120</v>
      </c>
      <c r="D102" s="445">
        <v>1</v>
      </c>
      <c r="E102" s="578">
        <f>D102*E93</f>
        <v>14000</v>
      </c>
      <c r="F102" s="1340">
        <f>F93</f>
        <v>0.16700000000000001</v>
      </c>
      <c r="G102" s="369">
        <f>E102*$F$102</f>
        <v>2338</v>
      </c>
      <c r="H102" s="370">
        <f ca="1">D102*H93</f>
        <v>0</v>
      </c>
      <c r="I102" s="1340">
        <f ca="1">I93</f>
        <v>0.16700000000000001</v>
      </c>
      <c r="J102" s="354">
        <f ca="1">H102*$I$102</f>
        <v>0</v>
      </c>
      <c r="K102" s="425">
        <v>0</v>
      </c>
      <c r="L102" s="426">
        <f ca="1">E102-H102</f>
        <v>14000</v>
      </c>
      <c r="M102" s="427">
        <f ca="1">H102*(F102-I102)</f>
        <v>0</v>
      </c>
      <c r="N102" s="428">
        <f ca="1">L102*$F$102</f>
        <v>2338</v>
      </c>
      <c r="O102" s="349">
        <f ca="1">SUM(M102:N102)</f>
        <v>2338</v>
      </c>
      <c r="Y102" s="259"/>
      <c r="Z102" s="259"/>
      <c r="AA102" s="259"/>
      <c r="AB102" s="259"/>
      <c r="AC102" s="259"/>
      <c r="AD102" s="259"/>
      <c r="AE102" s="259"/>
      <c r="AF102" s="259"/>
      <c r="AG102" s="259"/>
      <c r="AH102" s="259"/>
      <c r="AI102" s="259"/>
      <c r="AJ102" s="259"/>
      <c r="AK102" s="260"/>
      <c r="AL102" s="260"/>
      <c r="AM102" s="260"/>
      <c r="AN102" s="260"/>
    </row>
    <row r="103" spans="2:40" ht="42" customHeight="1" x14ac:dyDescent="0.2">
      <c r="B103" s="577" t="s">
        <v>187</v>
      </c>
      <c r="C103" s="572" t="s">
        <v>300</v>
      </c>
      <c r="D103" s="756">
        <v>1</v>
      </c>
      <c r="E103" s="566">
        <f>D103*E94</f>
        <v>0</v>
      </c>
      <c r="F103" s="1341"/>
      <c r="G103" s="567">
        <f>E103*$F$102</f>
        <v>0</v>
      </c>
      <c r="H103" s="370">
        <f ca="1">D103*H94</f>
        <v>0</v>
      </c>
      <c r="I103" s="1341"/>
      <c r="J103" s="354">
        <f ca="1">H103*$I$102</f>
        <v>0</v>
      </c>
      <c r="K103" s="425">
        <v>0</v>
      </c>
      <c r="L103" s="575">
        <f ca="1">E103-H103</f>
        <v>0</v>
      </c>
      <c r="M103" s="434">
        <f ca="1">H103*(F103-I103)</f>
        <v>0</v>
      </c>
      <c r="N103" s="576">
        <f ca="1">L103*$F$102</f>
        <v>0</v>
      </c>
      <c r="O103" s="581">
        <f t="shared" ref="O103:O104" ca="1" si="17">SUM(M103:N103)</f>
        <v>0</v>
      </c>
      <c r="Y103" s="259"/>
      <c r="Z103" s="259"/>
      <c r="AA103" s="259"/>
      <c r="AB103" s="259"/>
      <c r="AC103" s="259"/>
      <c r="AD103" s="259"/>
      <c r="AE103" s="259"/>
      <c r="AF103" s="259"/>
      <c r="AG103" s="259"/>
      <c r="AH103" s="259"/>
      <c r="AI103" s="259"/>
      <c r="AJ103" s="259"/>
      <c r="AK103" s="260"/>
      <c r="AL103" s="260"/>
      <c r="AM103" s="260"/>
      <c r="AN103" s="260"/>
    </row>
    <row r="104" spans="2:40" ht="42" customHeight="1" thickBot="1" x14ac:dyDescent="0.25">
      <c r="B104" s="429" t="s">
        <v>418</v>
      </c>
      <c r="C104" s="446" t="s">
        <v>240</v>
      </c>
      <c r="D104" s="447">
        <v>1</v>
      </c>
      <c r="E104" s="579">
        <f>D104*E95</f>
        <v>15184.766666666666</v>
      </c>
      <c r="F104" s="1346"/>
      <c r="G104" s="371">
        <f>E104*F102</f>
        <v>2535.8560333333335</v>
      </c>
      <c r="H104" s="370">
        <f ca="1">D104*H95</f>
        <v>0</v>
      </c>
      <c r="I104" s="1342"/>
      <c r="J104" s="380">
        <f ca="1">H104*$I$102</f>
        <v>0</v>
      </c>
      <c r="K104" s="425">
        <f ca="1">E104-H104</f>
        <v>15184.766666666666</v>
      </c>
      <c r="L104" s="433"/>
      <c r="M104" s="434">
        <f ca="1">G104-J104</f>
        <v>2535.8560333333335</v>
      </c>
      <c r="N104" s="435"/>
      <c r="O104" s="457">
        <f t="shared" ca="1" si="17"/>
        <v>2535.8560333333335</v>
      </c>
      <c r="Y104" s="259"/>
      <c r="Z104" s="259"/>
      <c r="AA104" s="259"/>
      <c r="AB104" s="259"/>
      <c r="AC104" s="259"/>
      <c r="AD104" s="259"/>
      <c r="AE104" s="259"/>
      <c r="AF104" s="259"/>
      <c r="AG104" s="259"/>
      <c r="AH104" s="259"/>
      <c r="AI104" s="259"/>
      <c r="AJ104" s="259"/>
      <c r="AK104" s="260"/>
      <c r="AL104" s="260"/>
      <c r="AM104" s="260"/>
      <c r="AN104" s="260"/>
    </row>
    <row r="105" spans="2:40" ht="27" customHeight="1" thickBot="1" x14ac:dyDescent="0.25">
      <c r="B105" s="1203" t="s">
        <v>163</v>
      </c>
      <c r="C105" s="1204"/>
      <c r="D105" s="1205"/>
      <c r="E105" s="330">
        <f>SUM(E102:E104)</f>
        <v>29184.766666666666</v>
      </c>
      <c r="F105" s="331"/>
      <c r="G105" s="334">
        <f>SUM(G102:G104)</f>
        <v>4873.8560333333335</v>
      </c>
      <c r="H105" s="436">
        <f ca="1">SUM(H102:H104)</f>
        <v>0</v>
      </c>
      <c r="I105" s="437"/>
      <c r="J105" s="438">
        <f t="shared" ref="J105:L105" ca="1" si="18">SUM(J102:J104)</f>
        <v>0</v>
      </c>
      <c r="K105" s="439">
        <f t="shared" ca="1" si="18"/>
        <v>15184.766666666666</v>
      </c>
      <c r="L105" s="440">
        <f t="shared" ca="1" si="18"/>
        <v>14000</v>
      </c>
      <c r="M105" s="441">
        <f ca="1">SUM(M102:M104)</f>
        <v>2535.8560333333335</v>
      </c>
      <c r="N105" s="441">
        <f ca="1">SUM(N102:N104)</f>
        <v>2338</v>
      </c>
      <c r="O105" s="359">
        <f ca="1">SUM(O102:O104)</f>
        <v>4873.8560333333335</v>
      </c>
      <c r="Y105" s="259"/>
      <c r="Z105" s="259"/>
      <c r="AA105" s="259"/>
      <c r="AB105" s="259"/>
      <c r="AC105" s="259"/>
      <c r="AD105" s="259"/>
      <c r="AE105" s="259"/>
      <c r="AF105" s="259"/>
      <c r="AG105" s="259"/>
      <c r="AH105" s="259"/>
      <c r="AI105" s="259"/>
      <c r="AJ105" s="259"/>
      <c r="AK105" s="260"/>
      <c r="AL105" s="260"/>
      <c r="AM105" s="260"/>
      <c r="AN105" s="260"/>
    </row>
    <row r="106" spans="2:40" ht="15.75" thickBot="1" x14ac:dyDescent="0.25">
      <c r="Y106" s="448"/>
      <c r="Z106" s="259"/>
      <c r="AA106" s="259"/>
      <c r="AB106" s="259"/>
      <c r="AC106" s="259"/>
      <c r="AD106" s="259"/>
      <c r="AE106" s="259"/>
      <c r="AF106" s="259"/>
      <c r="AG106" s="259"/>
      <c r="AH106" s="259"/>
      <c r="AI106" s="259"/>
      <c r="AJ106" s="259"/>
      <c r="AK106" s="260"/>
      <c r="AL106" s="260"/>
      <c r="AM106" s="260"/>
      <c r="AN106" s="260"/>
    </row>
    <row r="107" spans="2:40" ht="18.75" thickBot="1" x14ac:dyDescent="0.25">
      <c r="B107" s="361" t="s">
        <v>202</v>
      </c>
      <c r="C107" s="316"/>
      <c r="D107" s="316"/>
      <c r="E107" s="316"/>
      <c r="F107" s="316"/>
      <c r="G107" s="316"/>
      <c r="H107" s="316"/>
      <c r="I107" s="316"/>
      <c r="J107" s="316"/>
      <c r="K107" s="316"/>
      <c r="L107" s="316"/>
      <c r="M107" s="316"/>
      <c r="N107" s="316"/>
      <c r="O107" s="316"/>
      <c r="P107" s="316"/>
      <c r="Q107" s="316"/>
      <c r="R107" s="316"/>
      <c r="S107" s="317"/>
      <c r="Y107" s="448"/>
      <c r="Z107" s="449"/>
      <c r="AA107" s="449"/>
      <c r="AB107" s="449"/>
      <c r="AC107" s="449"/>
      <c r="AD107" s="449"/>
      <c r="AE107" s="449"/>
      <c r="AF107" s="449"/>
      <c r="AG107" s="449"/>
      <c r="AH107" s="449"/>
      <c r="AI107" s="449"/>
      <c r="AJ107" s="259"/>
      <c r="AK107" s="260"/>
      <c r="AL107" s="260"/>
      <c r="AM107" s="260"/>
      <c r="AN107" s="260"/>
    </row>
    <row r="108" spans="2:40" ht="15" customHeight="1" thickBot="1" x14ac:dyDescent="0.25">
      <c r="B108" s="1268" t="s">
        <v>175</v>
      </c>
      <c r="C108" s="1271" t="s">
        <v>231</v>
      </c>
      <c r="D108" s="1289" t="s">
        <v>188</v>
      </c>
      <c r="E108" s="1311" t="s">
        <v>242</v>
      </c>
      <c r="F108" s="1312"/>
      <c r="G108" s="1312"/>
      <c r="H108" s="1312"/>
      <c r="I108" s="1311" t="s">
        <v>243</v>
      </c>
      <c r="J108" s="1312"/>
      <c r="K108" s="1312"/>
      <c r="L108" s="1311" t="s">
        <v>223</v>
      </c>
      <c r="M108" s="1313"/>
      <c r="N108" s="1326" t="s">
        <v>224</v>
      </c>
      <c r="O108" s="1327"/>
      <c r="P108" s="1327"/>
      <c r="Q108" s="1327"/>
      <c r="R108" s="1327"/>
      <c r="S108" s="1328"/>
      <c r="Y108" s="259"/>
      <c r="Z108" s="450"/>
      <c r="AA108" s="450"/>
      <c r="AB108" s="450"/>
      <c r="AC108" s="450"/>
      <c r="AD108" s="450"/>
      <c r="AE108" s="450"/>
      <c r="AF108" s="450"/>
      <c r="AG108" s="450"/>
      <c r="AH108" s="450"/>
      <c r="AI108" s="450"/>
      <c r="AJ108" s="259"/>
      <c r="AK108" s="260"/>
      <c r="AL108" s="260"/>
      <c r="AM108" s="260"/>
      <c r="AN108" s="260"/>
    </row>
    <row r="109" spans="2:40" ht="69" customHeight="1" x14ac:dyDescent="0.2">
      <c r="B109" s="1270"/>
      <c r="C109" s="1275"/>
      <c r="D109" s="1290"/>
      <c r="E109" s="374" t="s">
        <v>245</v>
      </c>
      <c r="F109" s="374" t="s">
        <v>246</v>
      </c>
      <c r="G109" s="374" t="s">
        <v>247</v>
      </c>
      <c r="H109" s="339" t="s">
        <v>237</v>
      </c>
      <c r="I109" s="335" t="s">
        <v>248</v>
      </c>
      <c r="J109" s="336" t="s">
        <v>249</v>
      </c>
      <c r="K109" s="340" t="s">
        <v>250</v>
      </c>
      <c r="L109" s="335" t="s">
        <v>251</v>
      </c>
      <c r="M109" s="339" t="s">
        <v>252</v>
      </c>
      <c r="N109" s="335" t="s">
        <v>344</v>
      </c>
      <c r="O109" s="336" t="s">
        <v>345</v>
      </c>
      <c r="P109" s="335" t="s">
        <v>346</v>
      </c>
      <c r="Q109" s="336" t="s">
        <v>347</v>
      </c>
      <c r="R109" s="408" t="s">
        <v>244</v>
      </c>
      <c r="S109" s="408" t="s">
        <v>229</v>
      </c>
      <c r="Y109" s="347"/>
      <c r="Z109" s="259"/>
      <c r="AA109" s="259"/>
      <c r="AB109" s="259"/>
      <c r="AC109" s="259"/>
      <c r="AD109" s="259"/>
      <c r="AE109" s="259"/>
      <c r="AF109" s="259"/>
      <c r="AG109" s="259"/>
      <c r="AH109" s="259"/>
      <c r="AI109" s="259"/>
      <c r="AJ109" s="259"/>
      <c r="AK109" s="260"/>
      <c r="AL109" s="260"/>
      <c r="AM109" s="260"/>
      <c r="AN109" s="260"/>
    </row>
    <row r="110" spans="2:40" ht="15.75" thickBot="1" x14ac:dyDescent="0.25">
      <c r="B110" s="362"/>
      <c r="C110" s="442"/>
      <c r="D110" s="417"/>
      <c r="E110" s="419" t="s">
        <v>64</v>
      </c>
      <c r="F110" s="419" t="s">
        <v>64</v>
      </c>
      <c r="G110" s="419" t="s">
        <v>64</v>
      </c>
      <c r="H110" s="551" t="s">
        <v>183</v>
      </c>
      <c r="I110" s="721"/>
      <c r="J110" s="324" t="s">
        <v>64</v>
      </c>
      <c r="K110" s="344" t="s">
        <v>158</v>
      </c>
      <c r="L110" s="419" t="s">
        <v>64</v>
      </c>
      <c r="M110" s="419" t="s">
        <v>158</v>
      </c>
      <c r="N110" s="721" t="s">
        <v>64</v>
      </c>
      <c r="O110" s="1080" t="s">
        <v>64</v>
      </c>
      <c r="P110" s="1086" t="s">
        <v>158</v>
      </c>
      <c r="Q110" s="324" t="s">
        <v>158</v>
      </c>
      <c r="R110" s="451" t="s">
        <v>158</v>
      </c>
      <c r="S110" s="398" t="s">
        <v>158</v>
      </c>
      <c r="Y110" s="352"/>
      <c r="Z110" s="259"/>
      <c r="AA110" s="259"/>
      <c r="AB110" s="259"/>
      <c r="AC110" s="259"/>
      <c r="AD110" s="259"/>
      <c r="AE110" s="259"/>
      <c r="AF110" s="259"/>
      <c r="AG110" s="259"/>
      <c r="AH110" s="259"/>
      <c r="AI110" s="259"/>
      <c r="AJ110" s="259"/>
      <c r="AK110" s="260"/>
      <c r="AL110" s="260"/>
      <c r="AM110" s="260"/>
      <c r="AN110" s="260"/>
    </row>
    <row r="111" spans="2:40" ht="33" customHeight="1" x14ac:dyDescent="0.2">
      <c r="B111" s="421" t="s">
        <v>187</v>
      </c>
      <c r="C111" s="444" t="s">
        <v>120</v>
      </c>
      <c r="D111" s="583" t="str">
        <f>D93</f>
        <v>DA</v>
      </c>
      <c r="E111" s="1331">
        <v>0</v>
      </c>
      <c r="F111" s="1334">
        <v>0</v>
      </c>
      <c r="G111" s="1337">
        <f>E111-F111</f>
        <v>0</v>
      </c>
      <c r="H111" s="1340">
        <f ca="1">I102</f>
        <v>0.16700000000000001</v>
      </c>
      <c r="I111" s="1343">
        <v>1</v>
      </c>
      <c r="J111" s="1337">
        <f>G111*I111</f>
        <v>0</v>
      </c>
      <c r="K111" s="1317">
        <f ca="1">J111*H111</f>
        <v>0</v>
      </c>
      <c r="L111" s="453">
        <f ca="1">H102</f>
        <v>0</v>
      </c>
      <c r="M111" s="354">
        <f ca="1">L111*H111</f>
        <v>0</v>
      </c>
      <c r="N111" s="425">
        <v>0</v>
      </c>
      <c r="O111" s="453">
        <f ca="1">IF(D111="DA",L102,0)</f>
        <v>14000</v>
      </c>
      <c r="P111" s="427">
        <f ca="1">IF(D111="DA",L111*(F102-H111),0)</f>
        <v>0</v>
      </c>
      <c r="Q111" s="428">
        <f ca="1">G102-L111*H111</f>
        <v>2338</v>
      </c>
      <c r="R111" s="349">
        <f ca="1">SUM(P111:Q111)</f>
        <v>2338</v>
      </c>
      <c r="S111" s="584">
        <f ca="1">R111-O102</f>
        <v>0</v>
      </c>
      <c r="Y111" s="259"/>
      <c r="Z111" s="454"/>
      <c r="AA111" s="454"/>
      <c r="AB111" s="454"/>
      <c r="AC111" s="454"/>
      <c r="AD111" s="454"/>
      <c r="AE111" s="454"/>
      <c r="AF111" s="454"/>
      <c r="AG111" s="454"/>
      <c r="AH111" s="454"/>
      <c r="AI111" s="454"/>
      <c r="AJ111" s="259"/>
      <c r="AK111" s="260"/>
      <c r="AL111" s="260"/>
      <c r="AM111" s="260"/>
      <c r="AN111" s="260"/>
    </row>
    <row r="112" spans="2:40" ht="33" customHeight="1" x14ac:dyDescent="0.2">
      <c r="B112" s="577" t="s">
        <v>187</v>
      </c>
      <c r="C112" s="572" t="s">
        <v>300</v>
      </c>
      <c r="D112" s="582" t="s">
        <v>239</v>
      </c>
      <c r="E112" s="1332"/>
      <c r="F112" s="1335"/>
      <c r="G112" s="1338"/>
      <c r="H112" s="1341"/>
      <c r="I112" s="1344"/>
      <c r="J112" s="1338"/>
      <c r="K112" s="1318"/>
      <c r="L112" s="455">
        <f ca="1">H103</f>
        <v>0</v>
      </c>
      <c r="M112" s="354">
        <f ca="1">L112*H111</f>
        <v>0</v>
      </c>
      <c r="N112" s="425">
        <v>0</v>
      </c>
      <c r="O112" s="455">
        <f ca="1">IF(D112="DA",L103,0)</f>
        <v>0</v>
      </c>
      <c r="P112" s="434">
        <f ca="1">IF(D112="DA",L112*(F103-H112),0)</f>
        <v>0</v>
      </c>
      <c r="Q112" s="576">
        <f ca="1">G103-L112*H111</f>
        <v>0</v>
      </c>
      <c r="R112" s="457">
        <f ca="1">SUM(P112:Q112)</f>
        <v>0</v>
      </c>
      <c r="S112" s="585">
        <f ca="1">R112-O103</f>
        <v>0</v>
      </c>
      <c r="Y112" s="259"/>
      <c r="Z112" s="454"/>
      <c r="AA112" s="454"/>
      <c r="AB112" s="454"/>
      <c r="AC112" s="454"/>
      <c r="AD112" s="454"/>
      <c r="AE112" s="454"/>
      <c r="AF112" s="454"/>
      <c r="AG112" s="454"/>
      <c r="AH112" s="454"/>
      <c r="AI112" s="454"/>
      <c r="AJ112" s="259"/>
      <c r="AK112" s="260"/>
      <c r="AL112" s="260"/>
      <c r="AM112" s="260"/>
      <c r="AN112" s="260"/>
    </row>
    <row r="113" spans="2:40" ht="33" customHeight="1" thickBot="1" x14ac:dyDescent="0.25">
      <c r="B113" s="429" t="s">
        <v>418</v>
      </c>
      <c r="C113" s="446" t="s">
        <v>240</v>
      </c>
      <c r="D113" s="550" t="str">
        <f>D95</f>
        <v>NE</v>
      </c>
      <c r="E113" s="1333"/>
      <c r="F113" s="1336"/>
      <c r="G113" s="1339"/>
      <c r="H113" s="1342"/>
      <c r="I113" s="1345"/>
      <c r="J113" s="1339"/>
      <c r="K113" s="1319"/>
      <c r="L113" s="455">
        <f ca="1">H104</f>
        <v>0</v>
      </c>
      <c r="M113" s="354">
        <f ca="1">L113*H111</f>
        <v>0</v>
      </c>
      <c r="N113" s="425">
        <f>IF(D113="DA",E104-L113,0)</f>
        <v>0</v>
      </c>
      <c r="O113" s="456"/>
      <c r="P113" s="434">
        <f>IF(D113="DA",G104-M113,0)</f>
        <v>0</v>
      </c>
      <c r="Q113" s="435"/>
      <c r="R113" s="457">
        <f>SUM(P113:Q113)</f>
        <v>0</v>
      </c>
      <c r="S113" s="586">
        <f ca="1">R113-O104</f>
        <v>-2535.8560333333335</v>
      </c>
      <c r="Y113" s="259"/>
      <c r="Z113" s="454"/>
      <c r="AA113" s="454"/>
      <c r="AB113" s="454"/>
      <c r="AC113" s="454"/>
      <c r="AD113" s="454"/>
      <c r="AE113" s="454"/>
      <c r="AF113" s="454"/>
      <c r="AG113" s="454"/>
      <c r="AH113" s="454"/>
      <c r="AI113" s="454"/>
      <c r="AJ113" s="259"/>
      <c r="AK113" s="260"/>
      <c r="AL113" s="260"/>
      <c r="AM113" s="260"/>
      <c r="AN113" s="260"/>
    </row>
    <row r="114" spans="2:40" ht="33" customHeight="1" thickBot="1" x14ac:dyDescent="0.25">
      <c r="B114" s="1203" t="s">
        <v>163</v>
      </c>
      <c r="C114" s="1204"/>
      <c r="D114" s="1205"/>
      <c r="E114" s="458"/>
      <c r="F114" s="459"/>
      <c r="G114" s="459"/>
      <c r="H114" s="459"/>
      <c r="I114" s="459"/>
      <c r="J114" s="459"/>
      <c r="K114" s="459"/>
      <c r="L114" s="298">
        <f ca="1">SUM(L111:L113)</f>
        <v>0</v>
      </c>
      <c r="M114" s="441">
        <f t="shared" ref="M114:O114" ca="1" si="19">SUM(M111:M113)</f>
        <v>0</v>
      </c>
      <c r="N114" s="439">
        <f t="shared" si="19"/>
        <v>0</v>
      </c>
      <c r="O114" s="298">
        <f t="shared" ca="1" si="19"/>
        <v>14000</v>
      </c>
      <c r="P114" s="441">
        <f ca="1">SUM(P111:P113)</f>
        <v>0</v>
      </c>
      <c r="Q114" s="441">
        <f ca="1">SUM(Q111:Q113)</f>
        <v>2338</v>
      </c>
      <c r="R114" s="359">
        <f ca="1">SUM(R111:R113)</f>
        <v>2338</v>
      </c>
      <c r="S114" s="587">
        <f ca="1">SUM(S111:S113)</f>
        <v>-2535.8560333333335</v>
      </c>
      <c r="Y114" s="352"/>
      <c r="Z114" s="460"/>
      <c r="AA114" s="460"/>
      <c r="AB114" s="460"/>
      <c r="AC114" s="460"/>
      <c r="AD114" s="460"/>
      <c r="AE114" s="460"/>
      <c r="AF114" s="460"/>
      <c r="AG114" s="460"/>
      <c r="AH114" s="460"/>
      <c r="AI114" s="460"/>
      <c r="AJ114" s="259"/>
      <c r="AK114" s="260"/>
      <c r="AL114" s="260"/>
      <c r="AM114" s="260"/>
      <c r="AN114" s="260"/>
    </row>
    <row r="115" spans="2:40" ht="14.25" customHeight="1" x14ac:dyDescent="0.2">
      <c r="Y115" s="259"/>
      <c r="Z115" s="460"/>
      <c r="AA115" s="460"/>
      <c r="AB115" s="460"/>
      <c r="AC115" s="460"/>
      <c r="AD115" s="460"/>
      <c r="AE115" s="460"/>
      <c r="AF115" s="460"/>
      <c r="AG115" s="460"/>
      <c r="AH115" s="460"/>
      <c r="AI115" s="460"/>
      <c r="AJ115" s="259"/>
      <c r="AK115" s="260"/>
      <c r="AL115" s="260"/>
      <c r="AM115" s="260"/>
      <c r="AN115" s="260"/>
    </row>
    <row r="116" spans="2:40" ht="18.75" thickBot="1" x14ac:dyDescent="0.25">
      <c r="B116" s="256"/>
      <c r="C116" s="247"/>
      <c r="D116" s="247"/>
      <c r="E116" s="247"/>
      <c r="F116" s="247"/>
      <c r="G116" s="247"/>
      <c r="H116" s="247"/>
      <c r="I116" s="245"/>
      <c r="J116" s="246"/>
      <c r="K116" s="246"/>
      <c r="L116" s="246"/>
      <c r="M116" s="246"/>
      <c r="N116" s="246"/>
      <c r="O116" s="247"/>
      <c r="P116" s="247"/>
      <c r="Q116" s="247"/>
      <c r="R116" s="247"/>
      <c r="S116" s="247"/>
      <c r="T116" s="255"/>
      <c r="U116" s="255"/>
      <c r="V116" s="255"/>
      <c r="Y116" s="352"/>
      <c r="Z116" s="259"/>
      <c r="AA116" s="259"/>
      <c r="AB116" s="259"/>
      <c r="AC116" s="259"/>
      <c r="AD116" s="259"/>
      <c r="AE116" s="259"/>
      <c r="AF116" s="259"/>
      <c r="AG116" s="259"/>
      <c r="AH116" s="259"/>
      <c r="AI116" s="259"/>
      <c r="AJ116" s="259"/>
      <c r="AK116" s="260"/>
      <c r="AL116" s="260"/>
      <c r="AM116" s="260"/>
      <c r="AN116" s="260"/>
    </row>
    <row r="117" spans="2:40" ht="30.75" thickBot="1" x14ac:dyDescent="0.25">
      <c r="B117" s="461" t="s">
        <v>253</v>
      </c>
      <c r="C117" s="462"/>
      <c r="D117" s="462"/>
      <c r="E117" s="462"/>
      <c r="F117" s="462"/>
      <c r="G117" s="462"/>
      <c r="H117" s="462"/>
      <c r="I117" s="462"/>
      <c r="J117" s="462"/>
      <c r="K117" s="462"/>
      <c r="L117" s="462"/>
      <c r="M117" s="462"/>
      <c r="N117" s="462"/>
      <c r="O117" s="462"/>
      <c r="P117" s="462"/>
      <c r="Q117" s="462"/>
      <c r="R117" s="462"/>
      <c r="S117" s="462"/>
      <c r="T117" s="462"/>
      <c r="U117" s="462"/>
      <c r="V117" s="463"/>
      <c r="Y117" s="259"/>
      <c r="Z117" s="460"/>
      <c r="AA117" s="460"/>
      <c r="AB117" s="460"/>
      <c r="AC117" s="460"/>
      <c r="AD117" s="460"/>
      <c r="AE117" s="460"/>
      <c r="AF117" s="460"/>
      <c r="AG117" s="460"/>
      <c r="AH117" s="460"/>
      <c r="AI117" s="460"/>
      <c r="AJ117" s="464"/>
      <c r="AK117" s="260"/>
      <c r="AL117" s="260"/>
      <c r="AM117" s="260"/>
      <c r="AN117" s="260"/>
    </row>
    <row r="118" spans="2:40" ht="15" x14ac:dyDescent="0.2">
      <c r="B118" s="465"/>
      <c r="C118" s="465"/>
      <c r="D118" s="465"/>
      <c r="E118" s="465"/>
      <c r="F118" s="465"/>
      <c r="G118" s="465"/>
      <c r="H118" s="465"/>
      <c r="I118" s="465"/>
      <c r="J118" s="466"/>
      <c r="K118" s="466"/>
      <c r="L118" s="466"/>
      <c r="M118" s="466"/>
      <c r="N118" s="466"/>
      <c r="O118" s="466"/>
      <c r="P118" s="466"/>
      <c r="Q118" s="466"/>
      <c r="R118" s="466"/>
      <c r="S118" s="466"/>
      <c r="T118" s="466"/>
      <c r="U118" s="466"/>
      <c r="V118" s="466"/>
      <c r="Y118" s="259"/>
      <c r="Z118" s="259"/>
      <c r="AA118" s="259"/>
      <c r="AB118" s="259"/>
      <c r="AC118" s="259"/>
      <c r="AD118" s="259"/>
      <c r="AE118" s="259"/>
      <c r="AF118" s="259"/>
      <c r="AG118" s="259"/>
      <c r="AH118" s="259"/>
      <c r="AI118" s="259"/>
      <c r="AJ118" s="259"/>
      <c r="AK118" s="260"/>
      <c r="AL118" s="260"/>
      <c r="AM118" s="260"/>
      <c r="AN118" s="260"/>
    </row>
    <row r="119" spans="2:40" ht="15.75" thickBot="1" x14ac:dyDescent="0.25">
      <c r="B119" s="465"/>
      <c r="C119" s="465"/>
      <c r="D119" s="465"/>
      <c r="E119" s="465"/>
      <c r="F119" s="465"/>
      <c r="G119" s="465"/>
      <c r="H119" s="465"/>
      <c r="I119" s="465"/>
      <c r="J119" s="466"/>
      <c r="K119" s="466"/>
      <c r="L119" s="466"/>
      <c r="M119" s="466"/>
      <c r="N119" s="466"/>
      <c r="O119" s="466"/>
      <c r="P119" s="466"/>
      <c r="Q119" s="466"/>
      <c r="R119" s="466"/>
      <c r="S119" s="466"/>
      <c r="T119" s="466"/>
      <c r="U119" s="466"/>
      <c r="V119" s="466"/>
      <c r="Y119" s="259"/>
      <c r="Z119" s="259"/>
      <c r="AA119" s="259"/>
      <c r="AB119" s="259"/>
      <c r="AC119" s="259"/>
      <c r="AD119" s="259"/>
      <c r="AE119" s="259"/>
      <c r="AF119" s="259"/>
      <c r="AG119" s="259"/>
      <c r="AH119" s="259"/>
      <c r="AI119" s="259"/>
      <c r="AJ119" s="259"/>
      <c r="AK119" s="260"/>
      <c r="AL119" s="260"/>
      <c r="AM119" s="260"/>
      <c r="AN119" s="260"/>
    </row>
    <row r="120" spans="2:40" ht="35.25" customHeight="1" thickBot="1" x14ac:dyDescent="0.25">
      <c r="B120" s="1320" t="s">
        <v>174</v>
      </c>
      <c r="C120" s="1321"/>
      <c r="D120" s="1321"/>
      <c r="E120" s="1322"/>
      <c r="F120" s="246"/>
      <c r="G120" s="1323" t="s">
        <v>254</v>
      </c>
      <c r="H120" s="1321" t="s">
        <v>197</v>
      </c>
      <c r="I120" s="1321"/>
      <c r="J120" s="1321"/>
      <c r="K120" s="1321"/>
      <c r="L120" s="1322"/>
      <c r="M120" s="246"/>
      <c r="N120" s="1323" t="s">
        <v>255</v>
      </c>
      <c r="O120" s="1329" t="s">
        <v>202</v>
      </c>
      <c r="P120" s="1329"/>
      <c r="Q120" s="1329"/>
      <c r="R120" s="1330"/>
      <c r="S120" s="246"/>
      <c r="T120" s="246"/>
      <c r="U120" s="246"/>
      <c r="V120" s="246"/>
      <c r="Z120" s="259"/>
      <c r="AA120" s="259"/>
      <c r="AB120" s="259"/>
      <c r="AC120" s="259"/>
      <c r="AD120" s="259"/>
      <c r="AE120" s="259"/>
      <c r="AF120" s="259"/>
      <c r="AG120" s="259"/>
      <c r="AH120" s="259"/>
      <c r="AI120" s="259"/>
      <c r="AJ120" s="259"/>
      <c r="AK120" s="260"/>
      <c r="AL120" s="260"/>
      <c r="AM120" s="260"/>
      <c r="AN120" s="260"/>
    </row>
    <row r="121" spans="2:40" ht="66" customHeight="1" x14ac:dyDescent="0.2">
      <c r="B121" s="1268" t="s">
        <v>256</v>
      </c>
      <c r="C121" s="1082" t="s">
        <v>257</v>
      </c>
      <c r="D121" s="408" t="s">
        <v>258</v>
      </c>
      <c r="E121" s="1082" t="s">
        <v>259</v>
      </c>
      <c r="F121" s="246"/>
      <c r="G121" s="1324"/>
      <c r="H121" s="1268" t="s">
        <v>256</v>
      </c>
      <c r="I121" s="1277" t="s">
        <v>199</v>
      </c>
      <c r="J121" s="1082" t="s">
        <v>257</v>
      </c>
      <c r="K121" s="408" t="s">
        <v>258</v>
      </c>
      <c r="L121" s="1082" t="s">
        <v>259</v>
      </c>
      <c r="M121" s="246"/>
      <c r="N121" s="1324"/>
      <c r="O121" s="1268" t="s">
        <v>256</v>
      </c>
      <c r="P121" s="1082" t="s">
        <v>257</v>
      </c>
      <c r="Q121" s="408" t="s">
        <v>258</v>
      </c>
      <c r="R121" s="1082" t="s">
        <v>260</v>
      </c>
      <c r="S121" s="246"/>
      <c r="T121" s="246"/>
      <c r="U121" s="246"/>
      <c r="V121" s="246"/>
    </row>
    <row r="122" spans="2:40" ht="21.75" customHeight="1" thickBot="1" x14ac:dyDescent="0.25">
      <c r="B122" s="1309"/>
      <c r="C122" s="418" t="s">
        <v>158</v>
      </c>
      <c r="D122" s="375" t="s">
        <v>158</v>
      </c>
      <c r="E122" s="468" t="s">
        <v>158</v>
      </c>
      <c r="F122" s="415"/>
      <c r="G122" s="1324"/>
      <c r="H122" s="1309"/>
      <c r="I122" s="1349"/>
      <c r="J122" s="418" t="s">
        <v>158</v>
      </c>
      <c r="K122" s="375" t="s">
        <v>158</v>
      </c>
      <c r="L122" s="468" t="s">
        <v>158</v>
      </c>
      <c r="M122" s="415"/>
      <c r="N122" s="1324"/>
      <c r="O122" s="1309"/>
      <c r="P122" s="418" t="s">
        <v>158</v>
      </c>
      <c r="Q122" s="375" t="s">
        <v>158</v>
      </c>
      <c r="R122" s="468" t="s">
        <v>158</v>
      </c>
      <c r="S122" s="415"/>
      <c r="T122" s="415"/>
      <c r="U122" s="415"/>
      <c r="V122" s="415"/>
    </row>
    <row r="123" spans="2:40" ht="33" customHeight="1" x14ac:dyDescent="0.2">
      <c r="B123" s="469" t="s">
        <v>71</v>
      </c>
      <c r="C123" s="470">
        <f>INDEX('Referenčne količine'!$D49:$G49,MATCH(ObračunOB004!$C$3,'Referenčne količine'!$D$6:$G$6))</f>
        <v>3291</v>
      </c>
      <c r="D123" s="471">
        <v>0</v>
      </c>
      <c r="E123" s="472">
        <f>C123-D123</f>
        <v>3291</v>
      </c>
      <c r="F123" s="251"/>
      <c r="G123" s="1324"/>
      <c r="H123" s="452" t="s">
        <v>71</v>
      </c>
      <c r="I123" s="445">
        <v>1</v>
      </c>
      <c r="J123" s="369">
        <f>C123*I123</f>
        <v>3291</v>
      </c>
      <c r="K123" s="471">
        <v>0</v>
      </c>
      <c r="L123" s="472">
        <f>J123-K123</f>
        <v>3291</v>
      </c>
      <c r="M123" s="251"/>
      <c r="N123" s="1324"/>
      <c r="O123" s="452" t="s">
        <v>71</v>
      </c>
      <c r="P123" s="369">
        <f>J123</f>
        <v>3291</v>
      </c>
      <c r="Q123" s="473" cm="1">
        <f t="array" aca="1" ref="Q123" ca="1">INDIRECT($C$3&amp;"!E83")</f>
        <v>0</v>
      </c>
      <c r="R123" s="472">
        <f ca="1">P123-Q123</f>
        <v>3291</v>
      </c>
      <c r="S123" s="251"/>
      <c r="T123" s="251"/>
      <c r="U123" s="251"/>
      <c r="V123" s="251"/>
    </row>
    <row r="124" spans="2:40" ht="33" customHeight="1" thickBot="1" x14ac:dyDescent="0.25">
      <c r="B124" s="474" t="s">
        <v>163</v>
      </c>
      <c r="C124" s="334">
        <f>SUM(C123:C123)</f>
        <v>3291</v>
      </c>
      <c r="D124" s="475">
        <f>SUM(D123:D123)</f>
        <v>0</v>
      </c>
      <c r="E124" s="476">
        <f>SUM(E123:E123)</f>
        <v>3291</v>
      </c>
      <c r="F124" s="246"/>
      <c r="G124" s="1325"/>
      <c r="H124" s="1315" t="s">
        <v>163</v>
      </c>
      <c r="I124" s="1316"/>
      <c r="J124" s="334">
        <f>SUM(J123:J123)</f>
        <v>3291</v>
      </c>
      <c r="K124" s="475">
        <f>SUM(K123:K123)</f>
        <v>0</v>
      </c>
      <c r="L124" s="476">
        <f>SUM(L123:L123)</f>
        <v>3291</v>
      </c>
      <c r="M124" s="246"/>
      <c r="N124" s="1325"/>
      <c r="O124" s="474" t="s">
        <v>163</v>
      </c>
      <c r="P124" s="334">
        <f>SUM(P123:P123)</f>
        <v>3291</v>
      </c>
      <c r="Q124" s="475">
        <f ca="1">SUM(Q123:Q123)</f>
        <v>0</v>
      </c>
      <c r="R124" s="476">
        <f ca="1">SUM(R123:R123)</f>
        <v>3291</v>
      </c>
      <c r="S124" s="246"/>
      <c r="T124" s="246"/>
      <c r="U124" s="246"/>
      <c r="V124" s="246"/>
    </row>
    <row r="125" spans="2:40" ht="14.25" customHeight="1" x14ac:dyDescent="0.2">
      <c r="I125" s="257" t="s">
        <v>196</v>
      </c>
    </row>
  </sheetData>
  <mergeCells count="122">
    <mergeCell ref="H124:I124"/>
    <mergeCell ref="B114:D114"/>
    <mergeCell ref="B120:E120"/>
    <mergeCell ref="G120:G124"/>
    <mergeCell ref="H120:L120"/>
    <mergeCell ref="N120:N124"/>
    <mergeCell ref="O120:R120"/>
    <mergeCell ref="B121:B122"/>
    <mergeCell ref="H121:H122"/>
    <mergeCell ref="I121:I122"/>
    <mergeCell ref="O121:O122"/>
    <mergeCell ref="N108:S108"/>
    <mergeCell ref="E111:E113"/>
    <mergeCell ref="F111:F113"/>
    <mergeCell ref="G111:G113"/>
    <mergeCell ref="H111:H113"/>
    <mergeCell ref="I111:I113"/>
    <mergeCell ref="J111:J113"/>
    <mergeCell ref="K111:K113"/>
    <mergeCell ref="B108:B109"/>
    <mergeCell ref="C108:C109"/>
    <mergeCell ref="D108:D109"/>
    <mergeCell ref="E108:H108"/>
    <mergeCell ref="I108:K108"/>
    <mergeCell ref="L108:M108"/>
    <mergeCell ref="G99:G100"/>
    <mergeCell ref="H99:J99"/>
    <mergeCell ref="K99:O99"/>
    <mergeCell ref="F102:F104"/>
    <mergeCell ref="I102:I104"/>
    <mergeCell ref="B105:D105"/>
    <mergeCell ref="H90:J90"/>
    <mergeCell ref="K90:O90"/>
    <mergeCell ref="F93:F95"/>
    <mergeCell ref="I93:I95"/>
    <mergeCell ref="B96:D96"/>
    <mergeCell ref="B99:B100"/>
    <mergeCell ref="C99:C100"/>
    <mergeCell ref="D99:D100"/>
    <mergeCell ref="E99:E100"/>
    <mergeCell ref="F99:F100"/>
    <mergeCell ref="B77:B79"/>
    <mergeCell ref="C77:C79"/>
    <mergeCell ref="D77:F77"/>
    <mergeCell ref="G77:M77"/>
    <mergeCell ref="B90:B91"/>
    <mergeCell ref="C90:C91"/>
    <mergeCell ref="D90:D91"/>
    <mergeCell ref="E90:E91"/>
    <mergeCell ref="F90:F91"/>
    <mergeCell ref="G90:G91"/>
    <mergeCell ref="O52:O55"/>
    <mergeCell ref="B56:D56"/>
    <mergeCell ref="B58:B59"/>
    <mergeCell ref="C58:C59"/>
    <mergeCell ref="D58:D59"/>
    <mergeCell ref="B65:D65"/>
    <mergeCell ref="H48:H50"/>
    <mergeCell ref="I48:I50"/>
    <mergeCell ref="L49:M49"/>
    <mergeCell ref="F52:F55"/>
    <mergeCell ref="H52:H55"/>
    <mergeCell ref="J52:J55"/>
    <mergeCell ref="M52:M55"/>
    <mergeCell ref="B48:B50"/>
    <mergeCell ref="C48:C50"/>
    <mergeCell ref="D48:D50"/>
    <mergeCell ref="E48:E50"/>
    <mergeCell ref="F48:F50"/>
    <mergeCell ref="G48:G50"/>
    <mergeCell ref="C40:D40"/>
    <mergeCell ref="C41:D41"/>
    <mergeCell ref="C42:D42"/>
    <mergeCell ref="C43:D43"/>
    <mergeCell ref="B44:D44"/>
    <mergeCell ref="C32:D32"/>
    <mergeCell ref="C33:D33"/>
    <mergeCell ref="C34:D34"/>
    <mergeCell ref="B35:D35"/>
    <mergeCell ref="B37:B38"/>
    <mergeCell ref="C37:D38"/>
    <mergeCell ref="P28:Q28"/>
    <mergeCell ref="C30:D30"/>
    <mergeCell ref="C31:D31"/>
    <mergeCell ref="F31:F34"/>
    <mergeCell ref="H31:H34"/>
    <mergeCell ref="J31:J34"/>
    <mergeCell ref="M31:M34"/>
    <mergeCell ref="O31:O34"/>
    <mergeCell ref="C39:D39"/>
    <mergeCell ref="D24:E24"/>
    <mergeCell ref="B27:B29"/>
    <mergeCell ref="C27:D29"/>
    <mergeCell ref="E27:E29"/>
    <mergeCell ref="F27:F29"/>
    <mergeCell ref="G27:G29"/>
    <mergeCell ref="D22:E22"/>
    <mergeCell ref="I22:J22"/>
    <mergeCell ref="N22:O22"/>
    <mergeCell ref="D23:E23"/>
    <mergeCell ref="I23:J23"/>
    <mergeCell ref="N23:O23"/>
    <mergeCell ref="H27:H29"/>
    <mergeCell ref="I27:I29"/>
    <mergeCell ref="B10:B12"/>
    <mergeCell ref="C10:E10"/>
    <mergeCell ref="F10:H10"/>
    <mergeCell ref="I10:K10"/>
    <mergeCell ref="L10:N10"/>
    <mergeCell ref="C11:E11"/>
    <mergeCell ref="F11:H11"/>
    <mergeCell ref="I11:K11"/>
    <mergeCell ref="L11:N11"/>
    <mergeCell ref="J3:J4"/>
    <mergeCell ref="K3:M4"/>
    <mergeCell ref="Q3:T4"/>
    <mergeCell ref="C4:H5"/>
    <mergeCell ref="J5:J6"/>
    <mergeCell ref="K5:M6"/>
    <mergeCell ref="Q5:T6"/>
    <mergeCell ref="C6:H6"/>
    <mergeCell ref="Q8:U10"/>
  </mergeCells>
  <conditionalFormatting sqref="L31">
    <cfRule type="cellIs" dxfId="31" priority="29" operator="equal">
      <formula>0</formula>
    </cfRule>
  </conditionalFormatting>
  <conditionalFormatting sqref="J31">
    <cfRule type="cellIs" dxfId="30" priority="32" operator="equal">
      <formula>0</formula>
    </cfRule>
  </conditionalFormatting>
  <conditionalFormatting sqref="M31">
    <cfRule type="cellIs" dxfId="29" priority="31" operator="equal">
      <formula>0</formula>
    </cfRule>
  </conditionalFormatting>
  <conditionalFormatting sqref="P31">
    <cfRule type="cellIs" dxfId="28" priority="30" operator="equal">
      <formula>0</formula>
    </cfRule>
  </conditionalFormatting>
  <conditionalFormatting sqref="L52">
    <cfRule type="cellIs" dxfId="27" priority="24" operator="equal">
      <formula>0</formula>
    </cfRule>
  </conditionalFormatting>
  <conditionalFormatting sqref="O52">
    <cfRule type="cellIs" dxfId="26" priority="28" operator="equal">
      <formula>0</formula>
    </cfRule>
  </conditionalFormatting>
  <conditionalFormatting sqref="M52">
    <cfRule type="cellIs" dxfId="25" priority="27" operator="equal">
      <formula>0</formula>
    </cfRule>
  </conditionalFormatting>
  <conditionalFormatting sqref="P52">
    <cfRule type="cellIs" dxfId="24" priority="26" operator="equal">
      <formula>0</formula>
    </cfRule>
  </conditionalFormatting>
  <conditionalFormatting sqref="N52">
    <cfRule type="cellIs" dxfId="23" priority="25" operator="equal">
      <formula>0</formula>
    </cfRule>
  </conditionalFormatting>
  <conditionalFormatting sqref="P80:P82 P84">
    <cfRule type="cellIs" dxfId="22" priority="22" operator="lessThan">
      <formula>0</formula>
    </cfRule>
    <cfRule type="cellIs" dxfId="21" priority="23" operator="greaterThan">
      <formula>0</formula>
    </cfRule>
  </conditionalFormatting>
  <conditionalFormatting sqref="S111:S113">
    <cfRule type="cellIs" dxfId="20" priority="20" operator="lessThan">
      <formula>0</formula>
    </cfRule>
    <cfRule type="cellIs" dxfId="19" priority="21" operator="greaterThan">
      <formula>0</formula>
    </cfRule>
  </conditionalFormatting>
  <conditionalFormatting sqref="S114">
    <cfRule type="cellIs" dxfId="18" priority="18" operator="lessThan">
      <formula>0</formula>
    </cfRule>
    <cfRule type="cellIs" dxfId="17" priority="19" operator="greaterThan">
      <formula>0</formula>
    </cfRule>
  </conditionalFormatting>
  <conditionalFormatting sqref="L13:M13">
    <cfRule type="cellIs" dxfId="16" priority="16" operator="lessThan">
      <formula>0</formula>
    </cfRule>
    <cfRule type="cellIs" dxfId="15" priority="17" operator="greaterThan">
      <formula>0</formula>
    </cfRule>
  </conditionalFormatting>
  <conditionalFormatting sqref="L16:M16">
    <cfRule type="cellIs" dxfId="14" priority="14" operator="lessThan">
      <formula>0</formula>
    </cfRule>
    <cfRule type="cellIs" dxfId="13" priority="15" operator="greaterThan">
      <formula>0</formula>
    </cfRule>
  </conditionalFormatting>
  <conditionalFormatting sqref="L14:M14">
    <cfRule type="cellIs" dxfId="12" priority="12" operator="lessThan">
      <formula>0</formula>
    </cfRule>
    <cfRule type="cellIs" dxfId="11" priority="13" operator="greaterThan">
      <formula>0</formula>
    </cfRule>
  </conditionalFormatting>
  <conditionalFormatting sqref="L15:M15">
    <cfRule type="cellIs" dxfId="10" priority="10" operator="lessThan">
      <formula>0</formula>
    </cfRule>
    <cfRule type="cellIs" dxfId="9" priority="11" operator="greaterThan">
      <formula>0</formula>
    </cfRule>
  </conditionalFormatting>
  <conditionalFormatting sqref="N31">
    <cfRule type="cellIs" dxfId="8" priority="9" operator="equal">
      <formula>0</formula>
    </cfRule>
  </conditionalFormatting>
  <conditionalFormatting sqref="Q31">
    <cfRule type="cellIs" dxfId="7" priority="8" operator="equal">
      <formula>0</formula>
    </cfRule>
  </conditionalFormatting>
  <conditionalFormatting sqref="P83">
    <cfRule type="cellIs" dxfId="6" priority="6" operator="lessThan">
      <formula>0</formula>
    </cfRule>
    <cfRule type="cellIs" dxfId="5" priority="7" operator="greaterThan">
      <formula>0</formula>
    </cfRule>
  </conditionalFormatting>
  <conditionalFormatting sqref="K80:K82 K84">
    <cfRule type="cellIs" dxfId="4" priority="4" operator="lessThan">
      <formula>0</formula>
    </cfRule>
    <cfRule type="cellIs" dxfId="3" priority="5" operator="greaterThan">
      <formula>0</formula>
    </cfRule>
  </conditionalFormatting>
  <conditionalFormatting sqref="K83">
    <cfRule type="cellIs" dxfId="2" priority="2" operator="lessThan">
      <formula>0</formula>
    </cfRule>
    <cfRule type="cellIs" dxfId="1" priority="3" operator="greaterThan">
      <formula>0</formula>
    </cfRule>
  </conditionalFormatting>
  <conditionalFormatting sqref="J52">
    <cfRule type="cellIs" dxfId="0" priority="1" operator="equal">
      <formula>0</formula>
    </cfRule>
  </conditionalFormatting>
  <dataValidations count="2">
    <dataValidation type="list" errorStyle="warning" allowBlank="1" showInputMessage="1" showErrorMessage="1" errorTitle="NEPRAVILNA VREDNOST" error="PREVERI VNOS!_x000a__x000a_Dovoljene vrednosti:_x000a_- OSNUTEK_x000a_- PREDLOG_x000a_- POTRJENO" sqref="K5" xr:uid="{30456A49-9B6E-44C9-B316-CEF3E648259C}">
      <formula1>"OSNUTEK, PREDLOG, POTRJENO"</formula1>
    </dataValidation>
    <dataValidation type="list" allowBlank="1" showInputMessage="1" showErrorMessage="1" sqref="D93:D95" xr:uid="{FCC1C4F7-CE25-4FCF-9194-BA9F8DCA8B83}">
      <formula1>"DA, NE"</formula1>
    </dataValidation>
  </dataValidations>
  <pageMargins left="0.43307086614173229" right="0.43307086614173229" top="0.74803149606299213" bottom="0.74803149606299213" header="0.31496062992125984" footer="0.31496062992125984"/>
  <pageSetup paperSize="9" scale="18" fitToHeight="0" orientation="landscape" r:id="rId1"/>
  <headerFooter>
    <oddHeader>&amp;L&amp;"Arial,Krepko"&amp;20PETROL d.d., Ljubljana
Dunajska 50, 1000 Ljubljana&amp;C&amp;"Arial Black,Navadno"&amp;16OBRAČUN PRIHRANKOV</oddHeader>
    <oddFooter>&amp;L&amp;A&amp;C&amp;P/&amp;N&amp;R&amp;D</oddFooter>
  </headerFooter>
  <legacyDrawing r:id="rId2"/>
  <extLst>
    <ext xmlns:x14="http://schemas.microsoft.com/office/spreadsheetml/2009/9/main" uri="{CCE6A557-97BC-4b89-ADB6-D9C93CAAB3DF}">
      <x14:dataValidations xmlns:xm="http://schemas.microsoft.com/office/excel/2006/main" count="1">
        <x14:dataValidation type="list" showInputMessage="1" showErrorMessage="1" xr:uid="{64E043FA-7BB7-4F22-B14B-3FD580E3C49C}">
          <x14:formula1>
            <xm:f>'Osnovni podatki'!$C$6:$C$9</xm:f>
          </x14:formula1>
          <xm:sqref>C3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2:G10"/>
  <sheetViews>
    <sheetView zoomScale="93" zoomScaleNormal="93" workbookViewId="0">
      <selection activeCell="J24" sqref="J24"/>
    </sheetView>
  </sheetViews>
  <sheetFormatPr defaultColWidth="9.140625" defaultRowHeight="15" x14ac:dyDescent="0.25"/>
  <cols>
    <col min="1" max="1" width="5.7109375" style="35" customWidth="1"/>
    <col min="2" max="2" width="38.7109375" style="35" customWidth="1"/>
    <col min="3" max="7" width="21.5703125" style="35" customWidth="1"/>
    <col min="8" max="8" width="13.42578125" style="35" customWidth="1"/>
    <col min="9" max="16384" width="9.140625" style="35"/>
  </cols>
  <sheetData>
    <row r="2" spans="2:7" ht="21" thickBot="1" x14ac:dyDescent="0.3">
      <c r="B2" s="37" t="s">
        <v>264</v>
      </c>
    </row>
    <row r="3" spans="2:7" x14ac:dyDescent="0.25">
      <c r="B3" s="69"/>
      <c r="C3" s="79" t="s">
        <v>348</v>
      </c>
      <c r="D3" s="79" t="s">
        <v>406</v>
      </c>
      <c r="E3" s="79" t="s">
        <v>419</v>
      </c>
      <c r="F3" s="79" t="s">
        <v>420</v>
      </c>
      <c r="G3" s="116" t="s">
        <v>126</v>
      </c>
    </row>
    <row r="4" spans="2:7" x14ac:dyDescent="0.25">
      <c r="B4" s="182" t="s">
        <v>261</v>
      </c>
      <c r="C4" s="593">
        <f ca="1">INDIRECT(C$3&amp;"!J13")</f>
        <v>0</v>
      </c>
      <c r="D4" s="594">
        <f t="shared" ref="D4:F4" ca="1" si="0">INDIRECT(D$3&amp;"!J13")</f>
        <v>0</v>
      </c>
      <c r="E4" s="593">
        <f t="shared" ca="1" si="0"/>
        <v>0</v>
      </c>
      <c r="F4" s="594">
        <f t="shared" ca="1" si="0"/>
        <v>0</v>
      </c>
      <c r="G4" s="595">
        <f ca="1">SUM(C4:F4)</f>
        <v>0</v>
      </c>
    </row>
    <row r="5" spans="2:7" x14ac:dyDescent="0.25">
      <c r="B5" s="182" t="s">
        <v>265</v>
      </c>
      <c r="C5" s="593">
        <f ca="1">INDIRECT(C$3&amp;"!J14")</f>
        <v>2713.75</v>
      </c>
      <c r="D5" s="594">
        <f t="shared" ref="D5:F5" ca="1" si="1">INDIRECT(D$3&amp;"!J14")</f>
        <v>5640.4250000000002</v>
      </c>
      <c r="E5" s="593">
        <f t="shared" ca="1" si="1"/>
        <v>5857.5250000000005</v>
      </c>
      <c r="F5" s="594">
        <f t="shared" ca="1" si="1"/>
        <v>2338</v>
      </c>
      <c r="G5" s="595">
        <f t="shared" ref="G5:G8" ca="1" si="2">SUM(C5:F5)</f>
        <v>16549.7</v>
      </c>
    </row>
    <row r="6" spans="2:7" x14ac:dyDescent="0.25">
      <c r="B6" s="182" t="s">
        <v>262</v>
      </c>
      <c r="C6" s="593">
        <f ca="1">INDIRECT(C$3&amp;"!J15")</f>
        <v>5726</v>
      </c>
      <c r="D6" s="594">
        <f t="shared" ref="D6:F6" ca="1" si="3">INDIRECT(D$3&amp;"!J15")</f>
        <v>3783</v>
      </c>
      <c r="E6" s="593">
        <f t="shared" ca="1" si="3"/>
        <v>6291</v>
      </c>
      <c r="F6" s="594">
        <f t="shared" ca="1" si="3"/>
        <v>3291</v>
      </c>
      <c r="G6" s="595">
        <f t="shared" ca="1" si="2"/>
        <v>19091</v>
      </c>
    </row>
    <row r="7" spans="2:7" x14ac:dyDescent="0.25">
      <c r="B7" s="182" t="s">
        <v>263</v>
      </c>
      <c r="C7" s="593">
        <f ca="1">INDIRECT(C$3&amp;"!J16")</f>
        <v>8439.75</v>
      </c>
      <c r="D7" s="594">
        <f t="shared" ref="D7:F7" ca="1" si="4">INDIRECT(D$3&amp;"!J16")</f>
        <v>9423.4249999999993</v>
      </c>
      <c r="E7" s="593">
        <f t="shared" ca="1" si="4"/>
        <v>12148.525000000001</v>
      </c>
      <c r="F7" s="594">
        <f t="shared" ca="1" si="4"/>
        <v>5629</v>
      </c>
      <c r="G7" s="595">
        <f t="shared" ca="1" si="2"/>
        <v>35640.699999999997</v>
      </c>
    </row>
    <row r="8" spans="2:7" x14ac:dyDescent="0.25">
      <c r="B8" s="182" t="s">
        <v>266</v>
      </c>
      <c r="C8" s="593">
        <f ca="1">INDIRECT(C$3&amp;"!G16")</f>
        <v>27885.777462500002</v>
      </c>
      <c r="D8" s="594">
        <f t="shared" ref="D8:F8" ca="1" si="5">INDIRECT(D$3&amp;"!G16")</f>
        <v>27615.917119999998</v>
      </c>
      <c r="E8" s="593">
        <f t="shared" ca="1" si="5"/>
        <v>43737.58554</v>
      </c>
      <c r="F8" s="594">
        <f t="shared" ca="1" si="5"/>
        <v>16536.936033333332</v>
      </c>
      <c r="G8" s="595">
        <f t="shared" ca="1" si="2"/>
        <v>115776.21615583333</v>
      </c>
    </row>
    <row r="9" spans="2:7" ht="30" customHeight="1" x14ac:dyDescent="0.25">
      <c r="B9" s="588" t="s">
        <v>267</v>
      </c>
      <c r="C9" s="596" t="str">
        <f ca="1">IF(C7&gt;=C8,"DA","NE")</f>
        <v>NE</v>
      </c>
      <c r="D9" s="597" t="str">
        <f t="shared" ref="D9:F9" ca="1" si="6">IF(D7&gt;=D8,"DA","NE")</f>
        <v>NE</v>
      </c>
      <c r="E9" s="596" t="str">
        <f t="shared" ca="1" si="6"/>
        <v>NE</v>
      </c>
      <c r="F9" s="597" t="str">
        <f t="shared" ca="1" si="6"/>
        <v>NE</v>
      </c>
      <c r="G9" s="598" t="str">
        <f ca="1">IF(G7&gt;=G8,"DA","NE")</f>
        <v>NE</v>
      </c>
    </row>
    <row r="10" spans="2:7" ht="15.75" thickBot="1" x14ac:dyDescent="0.3">
      <c r="B10" s="589" t="s">
        <v>421</v>
      </c>
      <c r="C10" s="590">
        <f ca="1">C7-C8</f>
        <v>-19446.027462500002</v>
      </c>
      <c r="D10" s="591">
        <f t="shared" ref="D10:F10" ca="1" si="7">D7-D8</f>
        <v>-18192.492119999999</v>
      </c>
      <c r="E10" s="590">
        <f t="shared" ca="1" si="7"/>
        <v>-31589.060539999999</v>
      </c>
      <c r="F10" s="591">
        <f t="shared" ca="1" si="7"/>
        <v>-10907.936033333332</v>
      </c>
      <c r="G10" s="592">
        <f ca="1">G7-G8</f>
        <v>-80135.516155833335</v>
      </c>
    </row>
  </sheetData>
  <phoneticPr fontId="19" type="noConversion"/>
  <pageMargins left="0.70866141732283472" right="0.70866141732283472" top="0.74803149606299213" bottom="0.74803149606299213" header="0.31496062992125984" footer="0.31496062992125984"/>
  <pageSetup paperSize="9" scale="86" orientation="landscape" r:id="rId1"/>
  <headerFooter>
    <oddHeader>&amp;LProgram izvajanja koncesije "Celovita energetska prenova 7 objektov UKC LJ"&amp;R&amp;A</oddHeader>
    <oddFooter>&amp;RStran &amp;P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C574D-55F1-4DE5-AC7D-73E188DFE281}">
  <dimension ref="B2:AB117"/>
  <sheetViews>
    <sheetView zoomScale="70" zoomScaleNormal="70" zoomScaleSheetLayoutView="100" workbookViewId="0">
      <selection activeCell="AJ15" sqref="AJ15"/>
    </sheetView>
  </sheetViews>
  <sheetFormatPr defaultColWidth="9.140625" defaultRowHeight="15" x14ac:dyDescent="0.25"/>
  <cols>
    <col min="1" max="1" width="5.7109375" style="35" customWidth="1"/>
    <col min="2" max="2" width="25.85546875" style="35" customWidth="1"/>
    <col min="3" max="3" width="18.85546875" style="35" customWidth="1"/>
    <col min="4" max="4" width="13.28515625" style="35" customWidth="1"/>
    <col min="5" max="5" width="15.5703125" style="35" customWidth="1"/>
    <col min="6" max="6" width="14.140625" style="35" customWidth="1"/>
    <col min="7" max="7" width="18.7109375" style="35" customWidth="1"/>
    <col min="8" max="8" width="14.85546875" style="35" customWidth="1"/>
    <col min="9" max="9" width="26.28515625" style="35" customWidth="1"/>
    <col min="10" max="10" width="18.42578125" style="35" customWidth="1"/>
    <col min="11" max="11" width="18" style="35" customWidth="1"/>
    <col min="12" max="14" width="15.140625" style="35" customWidth="1"/>
    <col min="15" max="15" width="9.140625" style="35"/>
    <col min="16" max="16" width="28.28515625" style="35" customWidth="1"/>
    <col min="17" max="18" width="19.140625" style="35" customWidth="1"/>
    <col min="19" max="21" width="17.85546875" style="35" customWidth="1"/>
    <col min="22" max="22" width="9.140625" style="35"/>
    <col min="23" max="23" width="31.7109375" style="35" customWidth="1"/>
    <col min="24" max="25" width="17.42578125" style="35" customWidth="1"/>
    <col min="26" max="29" width="13.85546875" style="35" customWidth="1"/>
    <col min="30" max="16384" width="9.140625" style="35"/>
  </cols>
  <sheetData>
    <row r="2" spans="2:28" ht="21" thickBot="1" x14ac:dyDescent="0.3">
      <c r="B2" s="37" t="s">
        <v>264</v>
      </c>
      <c r="I2" s="37" t="s">
        <v>264</v>
      </c>
      <c r="P2" s="37" t="s">
        <v>264</v>
      </c>
      <c r="W2" s="37" t="s">
        <v>264</v>
      </c>
    </row>
    <row r="3" spans="2:28" ht="15.75" x14ac:dyDescent="0.25">
      <c r="B3" s="69"/>
      <c r="C3" s="1060" t="s">
        <v>348</v>
      </c>
      <c r="D3" s="1032" t="s">
        <v>126</v>
      </c>
      <c r="I3" s="69"/>
      <c r="J3" s="1060" t="s">
        <v>406</v>
      </c>
      <c r="K3" s="1032" t="s">
        <v>126</v>
      </c>
      <c r="P3" s="69"/>
      <c r="Q3" s="1060" t="s">
        <v>419</v>
      </c>
      <c r="R3" s="1032" t="s">
        <v>126</v>
      </c>
      <c r="W3" s="69"/>
      <c r="X3" s="1060" t="s">
        <v>420</v>
      </c>
      <c r="Y3" s="1032" t="s">
        <v>126</v>
      </c>
    </row>
    <row r="4" spans="2:28" ht="25.5" x14ac:dyDescent="0.25">
      <c r="B4" s="1059" t="s">
        <v>261</v>
      </c>
      <c r="C4" s="593">
        <f ca="1">INDIRECT(C$3&amp;"!J13")</f>
        <v>0</v>
      </c>
      <c r="D4" s="1033"/>
      <c r="I4" s="1059" t="s">
        <v>261</v>
      </c>
      <c r="J4" s="593">
        <f ca="1">INDIRECT(J$3&amp;"!J13")</f>
        <v>0</v>
      </c>
      <c r="K4" s="1033"/>
      <c r="P4" s="1059" t="s">
        <v>261</v>
      </c>
      <c r="Q4" s="593">
        <f ca="1">INDIRECT(Q$3&amp;"!J13")</f>
        <v>0</v>
      </c>
      <c r="R4" s="1033"/>
      <c r="W4" s="1059" t="s">
        <v>261</v>
      </c>
      <c r="X4" s="593">
        <f ca="1">INDIRECT(X$3&amp;"!J13")</f>
        <v>0</v>
      </c>
      <c r="Y4" s="1033"/>
    </row>
    <row r="5" spans="2:28" ht="25.5" x14ac:dyDescent="0.25">
      <c r="B5" s="1059" t="s">
        <v>422</v>
      </c>
      <c r="C5" s="593">
        <f ca="1">INDIRECT(C$3&amp;"!J14")</f>
        <v>2713.75</v>
      </c>
      <c r="D5" s="1033"/>
      <c r="I5" s="1059" t="s">
        <v>422</v>
      </c>
      <c r="J5" s="593">
        <f ca="1">INDIRECT(J$3&amp;"!J14")</f>
        <v>5640.4250000000002</v>
      </c>
      <c r="K5" s="1033"/>
      <c r="P5" s="1059" t="s">
        <v>422</v>
      </c>
      <c r="Q5" s="593">
        <f ca="1">INDIRECT(Q$3&amp;"!J14")</f>
        <v>5857.5250000000005</v>
      </c>
      <c r="R5" s="1033"/>
      <c r="W5" s="1059" t="s">
        <v>422</v>
      </c>
      <c r="X5" s="593">
        <f ca="1">INDIRECT(X$3&amp;"!J14")</f>
        <v>2338</v>
      </c>
      <c r="Y5" s="1033"/>
    </row>
    <row r="6" spans="2:28" x14ac:dyDescent="0.25">
      <c r="B6" s="1059" t="s">
        <v>262</v>
      </c>
      <c r="C6" s="593">
        <f ca="1">INDIRECT(C$3&amp;"!J15")</f>
        <v>5726</v>
      </c>
      <c r="D6" s="1033"/>
      <c r="I6" s="1059" t="s">
        <v>262</v>
      </c>
      <c r="J6" s="593">
        <f ca="1">INDIRECT(J$3&amp;"!J15")</f>
        <v>3783</v>
      </c>
      <c r="K6" s="1033"/>
      <c r="P6" s="1059" t="s">
        <v>262</v>
      </c>
      <c r="Q6" s="593">
        <f ca="1">INDIRECT(Q$3&amp;"!J15")</f>
        <v>6291</v>
      </c>
      <c r="R6" s="1033"/>
      <c r="W6" s="1059" t="s">
        <v>262</v>
      </c>
      <c r="X6" s="593">
        <f ca="1">INDIRECT(X$3&amp;"!J15")</f>
        <v>3291</v>
      </c>
      <c r="Y6" s="1033"/>
    </row>
    <row r="7" spans="2:28" x14ac:dyDescent="0.25">
      <c r="B7" s="1059" t="s">
        <v>263</v>
      </c>
      <c r="C7" s="593">
        <f ca="1">INDIRECT(C$3&amp;"!J16")</f>
        <v>8439.75</v>
      </c>
      <c r="D7" s="1034">
        <f ca="1">SUM('Presežni prihranki delitev'!C7:C7)</f>
        <v>8439.75</v>
      </c>
      <c r="I7" s="1059" t="s">
        <v>263</v>
      </c>
      <c r="J7" s="593">
        <f ca="1">INDIRECT(J$3&amp;"!J16")</f>
        <v>9423.4249999999993</v>
      </c>
      <c r="K7" s="1034">
        <f ca="1">SUM('Presežni prihranki delitev'!J7:J7)</f>
        <v>9423.4249999999993</v>
      </c>
      <c r="P7" s="1059" t="s">
        <v>263</v>
      </c>
      <c r="Q7" s="593">
        <f ca="1">INDIRECT(Q$3&amp;"!J16")</f>
        <v>12148.525000000001</v>
      </c>
      <c r="R7" s="1034">
        <f ca="1">SUM('Presežni prihranki delitev'!Q7:Q7)</f>
        <v>12148.525000000001</v>
      </c>
      <c r="W7" s="1059" t="s">
        <v>263</v>
      </c>
      <c r="X7" s="593">
        <f ca="1">INDIRECT(X$3&amp;"!J16")</f>
        <v>5629</v>
      </c>
      <c r="Y7" s="1034">
        <f ca="1">SUM('Presežni prihranki delitev'!X7:X7)</f>
        <v>5629</v>
      </c>
    </row>
    <row r="8" spans="2:28" x14ac:dyDescent="0.25">
      <c r="B8" s="1059" t="s">
        <v>423</v>
      </c>
      <c r="C8" s="593">
        <f ca="1">INDIRECT(C$3&amp;"!G16")</f>
        <v>27885.777462500002</v>
      </c>
      <c r="D8" s="1034">
        <f ca="1">SUM(C8:C8)</f>
        <v>27885.777462500002</v>
      </c>
      <c r="I8" s="1059" t="s">
        <v>423</v>
      </c>
      <c r="J8" s="593">
        <f ca="1">INDIRECT(J$3&amp;"!G16")</f>
        <v>27615.917119999998</v>
      </c>
      <c r="K8" s="1034">
        <f ca="1">SUM(J8:J8)</f>
        <v>27615.917119999998</v>
      </c>
      <c r="P8" s="1059" t="s">
        <v>423</v>
      </c>
      <c r="Q8" s="593">
        <f ca="1">INDIRECT(Q$3&amp;"!G16")</f>
        <v>43737.58554</v>
      </c>
      <c r="R8" s="1034">
        <f ca="1">SUM(Q8:Q8)</f>
        <v>43737.58554</v>
      </c>
      <c r="W8" s="1059" t="s">
        <v>423</v>
      </c>
      <c r="X8" s="593">
        <f ca="1">INDIRECT(X$3&amp;"!G16")</f>
        <v>16536.936033333332</v>
      </c>
      <c r="Y8" s="1034">
        <f ca="1">SUM(X8:X8)</f>
        <v>16536.936033333332</v>
      </c>
    </row>
    <row r="9" spans="2:28" ht="30" customHeight="1" thickBot="1" x14ac:dyDescent="0.3">
      <c r="B9" s="1035" t="s">
        <v>424</v>
      </c>
      <c r="C9" s="1036">
        <f ca="1">C7-C8</f>
        <v>-19446.027462500002</v>
      </c>
      <c r="D9" s="1037">
        <f ca="1">SUM(C9:C9)</f>
        <v>-19446.027462500002</v>
      </c>
      <c r="I9" s="1035" t="s">
        <v>424</v>
      </c>
      <c r="J9" s="1036">
        <f ca="1">J7-J8</f>
        <v>-18192.492119999999</v>
      </c>
      <c r="K9" s="1037">
        <f ca="1">SUM(J9:J9)</f>
        <v>-18192.492119999999</v>
      </c>
      <c r="P9" s="1035" t="s">
        <v>424</v>
      </c>
      <c r="Q9" s="1036">
        <f ca="1">Q7-Q8</f>
        <v>-31589.060539999999</v>
      </c>
      <c r="R9" s="1037">
        <f ca="1">SUM(Q9:Q9)</f>
        <v>-31589.060539999999</v>
      </c>
      <c r="W9" s="1035" t="s">
        <v>424</v>
      </c>
      <c r="X9" s="1036">
        <f ca="1">X7-X8</f>
        <v>-10907.936033333332</v>
      </c>
      <c r="Y9" s="1037">
        <f ca="1">SUM(X9:X9)</f>
        <v>-10907.936033333332</v>
      </c>
    </row>
    <row r="12" spans="2:28" ht="15" customHeight="1" x14ac:dyDescent="0.25"/>
    <row r="13" spans="2:28" ht="16.5" thickBot="1" x14ac:dyDescent="0.3">
      <c r="B13" s="39" t="s">
        <v>425</v>
      </c>
      <c r="I13" s="39" t="s">
        <v>425</v>
      </c>
      <c r="P13" s="39" t="s">
        <v>425</v>
      </c>
      <c r="W13" s="39" t="s">
        <v>425</v>
      </c>
    </row>
    <row r="14" spans="2:28" ht="45" customHeight="1" x14ac:dyDescent="0.25">
      <c r="B14" s="1350" t="s">
        <v>426</v>
      </c>
      <c r="C14" s="1351"/>
      <c r="D14" s="1038" t="s">
        <v>427</v>
      </c>
      <c r="E14" s="1039" t="s">
        <v>428</v>
      </c>
      <c r="F14" s="1038" t="s">
        <v>429</v>
      </c>
      <c r="G14" s="1040" t="s">
        <v>430</v>
      </c>
      <c r="I14" s="1350" t="s">
        <v>426</v>
      </c>
      <c r="J14" s="1351"/>
      <c r="K14" s="1038" t="s">
        <v>427</v>
      </c>
      <c r="L14" s="1039" t="s">
        <v>428</v>
      </c>
      <c r="M14" s="1038" t="s">
        <v>429</v>
      </c>
      <c r="N14" s="1040" t="s">
        <v>430</v>
      </c>
      <c r="P14" s="1350" t="s">
        <v>426</v>
      </c>
      <c r="Q14" s="1351"/>
      <c r="R14" s="1038" t="s">
        <v>427</v>
      </c>
      <c r="S14" s="1039" t="s">
        <v>428</v>
      </c>
      <c r="T14" s="1038" t="s">
        <v>429</v>
      </c>
      <c r="U14" s="1040" t="s">
        <v>430</v>
      </c>
      <c r="W14" s="1350" t="s">
        <v>426</v>
      </c>
      <c r="X14" s="1351"/>
      <c r="Y14" s="1038" t="s">
        <v>427</v>
      </c>
      <c r="Z14" s="1039" t="s">
        <v>428</v>
      </c>
      <c r="AA14" s="1038" t="s">
        <v>429</v>
      </c>
      <c r="AB14" s="1040" t="s">
        <v>430</v>
      </c>
    </row>
    <row r="15" spans="2:28" x14ac:dyDescent="0.25">
      <c r="B15" s="1041" t="s">
        <v>431</v>
      </c>
      <c r="C15" s="1042">
        <v>5.0000000000000001E-3</v>
      </c>
      <c r="D15" s="1042" t="s">
        <v>432</v>
      </c>
      <c r="E15" s="1043"/>
      <c r="F15" s="1043"/>
      <c r="G15" s="1044"/>
      <c r="I15" s="1041" t="s">
        <v>431</v>
      </c>
      <c r="J15" s="1042">
        <v>5.0000000000000001E-3</v>
      </c>
      <c r="K15" s="1042" t="s">
        <v>432</v>
      </c>
      <c r="L15" s="1043"/>
      <c r="M15" s="1043"/>
      <c r="N15" s="1044"/>
      <c r="P15" s="1041" t="s">
        <v>431</v>
      </c>
      <c r="Q15" s="1042">
        <v>5.0000000000000001E-3</v>
      </c>
      <c r="R15" s="1042" t="s">
        <v>432</v>
      </c>
      <c r="S15" s="1043"/>
      <c r="T15" s="1043"/>
      <c r="U15" s="1044"/>
      <c r="W15" s="1041" t="s">
        <v>431</v>
      </c>
      <c r="X15" s="1042">
        <v>5.0000000000000001E-3</v>
      </c>
      <c r="Y15" s="1042" t="s">
        <v>432</v>
      </c>
      <c r="Z15" s="1043"/>
      <c r="AA15" s="1043"/>
      <c r="AB15" s="1044"/>
    </row>
    <row r="16" spans="2:28" x14ac:dyDescent="0.25">
      <c r="B16" s="1045" t="s">
        <v>433</v>
      </c>
      <c r="C16" s="1046" t="s">
        <v>434</v>
      </c>
      <c r="D16" s="1047">
        <v>3.0000000000000001E-3</v>
      </c>
      <c r="E16" s="1046"/>
      <c r="F16" s="1046" t="s">
        <v>435</v>
      </c>
      <c r="G16" s="1048" t="s">
        <v>68</v>
      </c>
      <c r="I16" s="1045" t="s">
        <v>433</v>
      </c>
      <c r="J16" s="1046" t="s">
        <v>434</v>
      </c>
      <c r="K16" s="1047">
        <v>3.0000000000000001E-3</v>
      </c>
      <c r="L16" s="1046"/>
      <c r="M16" s="1046" t="s">
        <v>435</v>
      </c>
      <c r="N16" s="1048" t="s">
        <v>68</v>
      </c>
      <c r="P16" s="1045" t="s">
        <v>433</v>
      </c>
      <c r="Q16" s="1046" t="s">
        <v>434</v>
      </c>
      <c r="R16" s="1047">
        <v>3.0000000000000001E-3</v>
      </c>
      <c r="S16" s="1046"/>
      <c r="T16" s="1046" t="s">
        <v>435</v>
      </c>
      <c r="U16" s="1048" t="s">
        <v>68</v>
      </c>
      <c r="W16" s="1045" t="s">
        <v>433</v>
      </c>
      <c r="X16" s="1046" t="s">
        <v>434</v>
      </c>
      <c r="Y16" s="1047">
        <v>3.0000000000000001E-3</v>
      </c>
      <c r="Z16" s="1046"/>
      <c r="AA16" s="1046" t="s">
        <v>435</v>
      </c>
      <c r="AB16" s="1048" t="s">
        <v>68</v>
      </c>
    </row>
    <row r="17" spans="2:28" x14ac:dyDescent="0.25">
      <c r="B17" s="1049">
        <v>0</v>
      </c>
      <c r="C17" s="1050">
        <f ca="1">ROUND(D8*C15,-1)</f>
        <v>140</v>
      </c>
      <c r="D17" s="1051">
        <v>0.7</v>
      </c>
      <c r="E17" s="1050">
        <f>ROUND(B17*D17,-1)</f>
        <v>0</v>
      </c>
      <c r="F17" s="1052">
        <f t="shared" ref="F17:F48" ca="1" si="0">IF(AND($D$9&gt;=B17,$D$9&lt;=C17),1,0)</f>
        <v>0</v>
      </c>
      <c r="G17" s="1053">
        <f ca="1">E17*F17</f>
        <v>0</v>
      </c>
      <c r="I17" s="1049">
        <v>0</v>
      </c>
      <c r="J17" s="1050">
        <f ca="1">ROUND(K8*J15,-1)</f>
        <v>140</v>
      </c>
      <c r="K17" s="1051">
        <v>0.7</v>
      </c>
      <c r="L17" s="1050">
        <f>ROUND(I17*K17,-1)</f>
        <v>0</v>
      </c>
      <c r="M17" s="1052">
        <f t="shared" ref="M17:M48" ca="1" si="1">IF(AND($D$9&gt;=I17,$D$9&lt;=J17),1,0)</f>
        <v>0</v>
      </c>
      <c r="N17" s="1053">
        <f ca="1">L17*M17</f>
        <v>0</v>
      </c>
      <c r="P17" s="1049">
        <v>0</v>
      </c>
      <c r="Q17" s="1050">
        <f ca="1">ROUND(R8*Q15,-1)</f>
        <v>220</v>
      </c>
      <c r="R17" s="1051">
        <v>0.7</v>
      </c>
      <c r="S17" s="1050">
        <f>ROUND(P17*R17,-1)</f>
        <v>0</v>
      </c>
      <c r="T17" s="1052">
        <f t="shared" ref="T17:T48" ca="1" si="2">IF(AND($D$9&gt;=P17,$D$9&lt;=Q17),1,0)</f>
        <v>0</v>
      </c>
      <c r="U17" s="1053">
        <f ca="1">S17*T17</f>
        <v>0</v>
      </c>
      <c r="W17" s="1049">
        <v>0</v>
      </c>
      <c r="X17" s="1050">
        <f ca="1">ROUND(Y8*X15,-1)</f>
        <v>80</v>
      </c>
      <c r="Y17" s="1051">
        <v>0.7</v>
      </c>
      <c r="Z17" s="1050">
        <f>ROUND(W17*Y17,-1)</f>
        <v>0</v>
      </c>
      <c r="AA17" s="1052">
        <f t="shared" ref="AA17:AA48" ca="1" si="3">IF(AND($D$9&gt;=W17,$D$9&lt;=X17),1,0)</f>
        <v>0</v>
      </c>
      <c r="AB17" s="1053">
        <f ca="1">Z17*AA17</f>
        <v>0</v>
      </c>
    </row>
    <row r="18" spans="2:28" x14ac:dyDescent="0.25">
      <c r="B18" s="1049">
        <f ca="1">C17+0.01</f>
        <v>140.01</v>
      </c>
      <c r="C18" s="1050">
        <f ca="1">C17+$C$17</f>
        <v>280</v>
      </c>
      <c r="D18" s="1051">
        <f>D17-$D$16</f>
        <v>0.69699999999999995</v>
      </c>
      <c r="E18" s="1050">
        <f t="shared" ref="E18:E81" ca="1" si="4">ROUND(B18*D18,-1)</f>
        <v>100</v>
      </c>
      <c r="F18" s="1052">
        <f t="shared" ca="1" si="0"/>
        <v>0</v>
      </c>
      <c r="G18" s="1053">
        <f t="shared" ref="G18:G21" ca="1" si="5">E18*F18</f>
        <v>0</v>
      </c>
      <c r="I18" s="1049">
        <f ca="1">J17+0.01</f>
        <v>140.01</v>
      </c>
      <c r="J18" s="1050">
        <f ca="1">J17+$C$17</f>
        <v>280</v>
      </c>
      <c r="K18" s="1051">
        <f>K17-$D$16</f>
        <v>0.69699999999999995</v>
      </c>
      <c r="L18" s="1050">
        <f t="shared" ref="L18:L81" ca="1" si="6">ROUND(I18*K18,-1)</f>
        <v>100</v>
      </c>
      <c r="M18" s="1052">
        <f t="shared" ca="1" si="1"/>
        <v>0</v>
      </c>
      <c r="N18" s="1053">
        <f t="shared" ref="N18:N21" ca="1" si="7">L18*M18</f>
        <v>0</v>
      </c>
      <c r="P18" s="1049">
        <f ca="1">Q17+0.01</f>
        <v>220.01</v>
      </c>
      <c r="Q18" s="1050">
        <f ca="1">Q17+$C$17</f>
        <v>360</v>
      </c>
      <c r="R18" s="1051">
        <f>R17-$D$16</f>
        <v>0.69699999999999995</v>
      </c>
      <c r="S18" s="1050">
        <f t="shared" ref="S18:S81" ca="1" si="8">ROUND(P18*R18,-1)</f>
        <v>150</v>
      </c>
      <c r="T18" s="1052">
        <f t="shared" ca="1" si="2"/>
        <v>0</v>
      </c>
      <c r="U18" s="1053">
        <f t="shared" ref="U18:U21" ca="1" si="9">S18*T18</f>
        <v>0</v>
      </c>
      <c r="W18" s="1049">
        <f ca="1">X17+0.01</f>
        <v>80.010000000000005</v>
      </c>
      <c r="X18" s="1050">
        <f ca="1">X17+$C$17</f>
        <v>220</v>
      </c>
      <c r="Y18" s="1051">
        <f>Y17-$D$16</f>
        <v>0.69699999999999995</v>
      </c>
      <c r="Z18" s="1050">
        <f t="shared" ref="Z18:Z81" ca="1" si="10">ROUND(W18*Y18,-1)</f>
        <v>60</v>
      </c>
      <c r="AA18" s="1052">
        <f t="shared" ca="1" si="3"/>
        <v>0</v>
      </c>
      <c r="AB18" s="1053">
        <f t="shared" ref="AB18:AB21" ca="1" si="11">Z18*AA18</f>
        <v>0</v>
      </c>
    </row>
    <row r="19" spans="2:28" x14ac:dyDescent="0.25">
      <c r="B19" s="1049">
        <f t="shared" ref="B19:B82" ca="1" si="12">C18+0.01</f>
        <v>280.01</v>
      </c>
      <c r="C19" s="1050">
        <f t="shared" ref="C19:C82" ca="1" si="13">C18+$C$17</f>
        <v>420</v>
      </c>
      <c r="D19" s="1051">
        <f t="shared" ref="D19:D82" si="14">D18-$D$16</f>
        <v>0.69399999999999995</v>
      </c>
      <c r="E19" s="1050">
        <f t="shared" ca="1" si="4"/>
        <v>190</v>
      </c>
      <c r="F19" s="1052">
        <f t="shared" ca="1" si="0"/>
        <v>0</v>
      </c>
      <c r="G19" s="1053">
        <f t="shared" ca="1" si="5"/>
        <v>0</v>
      </c>
      <c r="I19" s="1049">
        <f t="shared" ref="I19:I82" ca="1" si="15">J18+0.01</f>
        <v>280.01</v>
      </c>
      <c r="J19" s="1050">
        <f t="shared" ref="J19:J82" ca="1" si="16">J18+$C$17</f>
        <v>420</v>
      </c>
      <c r="K19" s="1051">
        <f t="shared" ref="K19:K82" si="17">K18-$D$16</f>
        <v>0.69399999999999995</v>
      </c>
      <c r="L19" s="1050">
        <f t="shared" ca="1" si="6"/>
        <v>190</v>
      </c>
      <c r="M19" s="1052">
        <f t="shared" ca="1" si="1"/>
        <v>0</v>
      </c>
      <c r="N19" s="1053">
        <f t="shared" ca="1" si="7"/>
        <v>0</v>
      </c>
      <c r="P19" s="1049">
        <f t="shared" ref="P19:P82" ca="1" si="18">Q18+0.01</f>
        <v>360.01</v>
      </c>
      <c r="Q19" s="1050">
        <f t="shared" ref="Q19:Q82" ca="1" si="19">Q18+$C$17</f>
        <v>500</v>
      </c>
      <c r="R19" s="1051">
        <f t="shared" ref="R19:R82" si="20">R18-$D$16</f>
        <v>0.69399999999999995</v>
      </c>
      <c r="S19" s="1050">
        <f t="shared" ca="1" si="8"/>
        <v>250</v>
      </c>
      <c r="T19" s="1052">
        <f t="shared" ca="1" si="2"/>
        <v>0</v>
      </c>
      <c r="U19" s="1053">
        <f t="shared" ca="1" si="9"/>
        <v>0</v>
      </c>
      <c r="W19" s="1049">
        <f t="shared" ref="W19:W82" ca="1" si="21">X18+0.01</f>
        <v>220.01</v>
      </c>
      <c r="X19" s="1050">
        <f t="shared" ref="X19:X82" ca="1" si="22">X18+$C$17</f>
        <v>360</v>
      </c>
      <c r="Y19" s="1051">
        <f t="shared" ref="Y19:Y82" si="23">Y18-$D$16</f>
        <v>0.69399999999999995</v>
      </c>
      <c r="Z19" s="1050">
        <f t="shared" ca="1" si="10"/>
        <v>150</v>
      </c>
      <c r="AA19" s="1052">
        <f t="shared" ca="1" si="3"/>
        <v>0</v>
      </c>
      <c r="AB19" s="1053">
        <f t="shared" ca="1" si="11"/>
        <v>0</v>
      </c>
    </row>
    <row r="20" spans="2:28" x14ac:dyDescent="0.25">
      <c r="B20" s="1049">
        <f t="shared" ca="1" si="12"/>
        <v>420.01</v>
      </c>
      <c r="C20" s="1050">
        <f t="shared" ca="1" si="13"/>
        <v>560</v>
      </c>
      <c r="D20" s="1051">
        <f t="shared" si="14"/>
        <v>0.69099999999999995</v>
      </c>
      <c r="E20" s="1050">
        <f t="shared" ca="1" si="4"/>
        <v>290</v>
      </c>
      <c r="F20" s="1052">
        <f t="shared" ca="1" si="0"/>
        <v>0</v>
      </c>
      <c r="G20" s="1053">
        <f t="shared" ca="1" si="5"/>
        <v>0</v>
      </c>
      <c r="I20" s="1049">
        <f t="shared" ca="1" si="15"/>
        <v>420.01</v>
      </c>
      <c r="J20" s="1050">
        <f t="shared" ca="1" si="16"/>
        <v>560</v>
      </c>
      <c r="K20" s="1051">
        <f t="shared" si="17"/>
        <v>0.69099999999999995</v>
      </c>
      <c r="L20" s="1050">
        <f t="shared" ca="1" si="6"/>
        <v>290</v>
      </c>
      <c r="M20" s="1052">
        <f t="shared" ca="1" si="1"/>
        <v>0</v>
      </c>
      <c r="N20" s="1053">
        <f t="shared" ca="1" si="7"/>
        <v>0</v>
      </c>
      <c r="P20" s="1049">
        <f t="shared" ca="1" si="18"/>
        <v>500.01</v>
      </c>
      <c r="Q20" s="1050">
        <f t="shared" ca="1" si="19"/>
        <v>640</v>
      </c>
      <c r="R20" s="1051">
        <f t="shared" si="20"/>
        <v>0.69099999999999995</v>
      </c>
      <c r="S20" s="1050">
        <f t="shared" ca="1" si="8"/>
        <v>350</v>
      </c>
      <c r="T20" s="1052">
        <f t="shared" ca="1" si="2"/>
        <v>0</v>
      </c>
      <c r="U20" s="1053">
        <f t="shared" ca="1" si="9"/>
        <v>0</v>
      </c>
      <c r="W20" s="1049">
        <f t="shared" ca="1" si="21"/>
        <v>360.01</v>
      </c>
      <c r="X20" s="1050">
        <f t="shared" ca="1" si="22"/>
        <v>500</v>
      </c>
      <c r="Y20" s="1051">
        <f t="shared" si="23"/>
        <v>0.69099999999999995</v>
      </c>
      <c r="Z20" s="1050">
        <f t="shared" ca="1" si="10"/>
        <v>250</v>
      </c>
      <c r="AA20" s="1052">
        <f t="shared" ca="1" si="3"/>
        <v>0</v>
      </c>
      <c r="AB20" s="1053">
        <f t="shared" ca="1" si="11"/>
        <v>0</v>
      </c>
    </row>
    <row r="21" spans="2:28" x14ac:dyDescent="0.25">
      <c r="B21" s="1049">
        <f t="shared" ca="1" si="12"/>
        <v>560.01</v>
      </c>
      <c r="C21" s="1050">
        <f t="shared" ca="1" si="13"/>
        <v>700</v>
      </c>
      <c r="D21" s="1051">
        <f t="shared" si="14"/>
        <v>0.68799999999999994</v>
      </c>
      <c r="E21" s="1050">
        <f t="shared" ca="1" si="4"/>
        <v>390</v>
      </c>
      <c r="F21" s="1052">
        <f t="shared" ca="1" si="0"/>
        <v>0</v>
      </c>
      <c r="G21" s="1053">
        <f t="shared" ca="1" si="5"/>
        <v>0</v>
      </c>
      <c r="I21" s="1049">
        <f t="shared" ca="1" si="15"/>
        <v>560.01</v>
      </c>
      <c r="J21" s="1050">
        <f t="shared" ca="1" si="16"/>
        <v>700</v>
      </c>
      <c r="K21" s="1051">
        <f t="shared" si="17"/>
        <v>0.68799999999999994</v>
      </c>
      <c r="L21" s="1050">
        <f t="shared" ca="1" si="6"/>
        <v>390</v>
      </c>
      <c r="M21" s="1052">
        <f t="shared" ca="1" si="1"/>
        <v>0</v>
      </c>
      <c r="N21" s="1053">
        <f t="shared" ca="1" si="7"/>
        <v>0</v>
      </c>
      <c r="P21" s="1049">
        <f t="shared" ca="1" si="18"/>
        <v>640.01</v>
      </c>
      <c r="Q21" s="1050">
        <f t="shared" ca="1" si="19"/>
        <v>780</v>
      </c>
      <c r="R21" s="1051">
        <f t="shared" si="20"/>
        <v>0.68799999999999994</v>
      </c>
      <c r="S21" s="1050">
        <f t="shared" ca="1" si="8"/>
        <v>440</v>
      </c>
      <c r="T21" s="1052">
        <f t="shared" ca="1" si="2"/>
        <v>0</v>
      </c>
      <c r="U21" s="1053">
        <f t="shared" ca="1" si="9"/>
        <v>0</v>
      </c>
      <c r="W21" s="1049">
        <f t="shared" ca="1" si="21"/>
        <v>500.01</v>
      </c>
      <c r="X21" s="1050">
        <f t="shared" ca="1" si="22"/>
        <v>640</v>
      </c>
      <c r="Y21" s="1051">
        <f t="shared" si="23"/>
        <v>0.68799999999999994</v>
      </c>
      <c r="Z21" s="1050">
        <f t="shared" ca="1" si="10"/>
        <v>340</v>
      </c>
      <c r="AA21" s="1052">
        <f t="shared" ca="1" si="3"/>
        <v>0</v>
      </c>
      <c r="AB21" s="1053">
        <f t="shared" ca="1" si="11"/>
        <v>0</v>
      </c>
    </row>
    <row r="22" spans="2:28" x14ac:dyDescent="0.25">
      <c r="B22" s="1049">
        <f t="shared" ca="1" si="12"/>
        <v>700.01</v>
      </c>
      <c r="C22" s="1050">
        <f t="shared" ca="1" si="13"/>
        <v>840</v>
      </c>
      <c r="D22" s="1051">
        <f t="shared" si="14"/>
        <v>0.68499999999999994</v>
      </c>
      <c r="E22" s="1050">
        <f t="shared" ca="1" si="4"/>
        <v>480</v>
      </c>
      <c r="F22" s="1052">
        <f t="shared" ca="1" si="0"/>
        <v>0</v>
      </c>
      <c r="G22" s="1053">
        <f ca="1">E22*F22</f>
        <v>0</v>
      </c>
      <c r="I22" s="1049">
        <f t="shared" ca="1" si="15"/>
        <v>700.01</v>
      </c>
      <c r="J22" s="1050">
        <f t="shared" ca="1" si="16"/>
        <v>840</v>
      </c>
      <c r="K22" s="1051">
        <f t="shared" si="17"/>
        <v>0.68499999999999994</v>
      </c>
      <c r="L22" s="1050">
        <f t="shared" ca="1" si="6"/>
        <v>480</v>
      </c>
      <c r="M22" s="1052">
        <f t="shared" ca="1" si="1"/>
        <v>0</v>
      </c>
      <c r="N22" s="1053">
        <f ca="1">L22*M22</f>
        <v>0</v>
      </c>
      <c r="P22" s="1049">
        <f t="shared" ca="1" si="18"/>
        <v>780.01</v>
      </c>
      <c r="Q22" s="1050">
        <f t="shared" ca="1" si="19"/>
        <v>920</v>
      </c>
      <c r="R22" s="1051">
        <f t="shared" si="20"/>
        <v>0.68499999999999994</v>
      </c>
      <c r="S22" s="1050">
        <f t="shared" ca="1" si="8"/>
        <v>530</v>
      </c>
      <c r="T22" s="1052">
        <f t="shared" ca="1" si="2"/>
        <v>0</v>
      </c>
      <c r="U22" s="1053">
        <f ca="1">S22*T22</f>
        <v>0</v>
      </c>
      <c r="W22" s="1049">
        <f t="shared" ca="1" si="21"/>
        <v>640.01</v>
      </c>
      <c r="X22" s="1050">
        <f t="shared" ca="1" si="22"/>
        <v>780</v>
      </c>
      <c r="Y22" s="1051">
        <f t="shared" si="23"/>
        <v>0.68499999999999994</v>
      </c>
      <c r="Z22" s="1050">
        <f t="shared" ca="1" si="10"/>
        <v>440</v>
      </c>
      <c r="AA22" s="1052">
        <f t="shared" ca="1" si="3"/>
        <v>0</v>
      </c>
      <c r="AB22" s="1053">
        <f ca="1">Z22*AA22</f>
        <v>0</v>
      </c>
    </row>
    <row r="23" spans="2:28" x14ac:dyDescent="0.25">
      <c r="B23" s="1049">
        <f t="shared" ca="1" si="12"/>
        <v>840.01</v>
      </c>
      <c r="C23" s="1050">
        <f t="shared" ca="1" si="13"/>
        <v>980</v>
      </c>
      <c r="D23" s="1051">
        <f t="shared" si="14"/>
        <v>0.68199999999999994</v>
      </c>
      <c r="E23" s="1050">
        <f t="shared" ca="1" si="4"/>
        <v>570</v>
      </c>
      <c r="F23" s="1052">
        <f t="shared" ca="1" si="0"/>
        <v>0</v>
      </c>
      <c r="G23" s="1053">
        <f t="shared" ref="G23:G86" ca="1" si="24">E23*F23</f>
        <v>0</v>
      </c>
      <c r="I23" s="1049">
        <f t="shared" ca="1" si="15"/>
        <v>840.01</v>
      </c>
      <c r="J23" s="1050">
        <f t="shared" ca="1" si="16"/>
        <v>980</v>
      </c>
      <c r="K23" s="1051">
        <f t="shared" si="17"/>
        <v>0.68199999999999994</v>
      </c>
      <c r="L23" s="1050">
        <f t="shared" ca="1" si="6"/>
        <v>570</v>
      </c>
      <c r="M23" s="1052">
        <f t="shared" ca="1" si="1"/>
        <v>0</v>
      </c>
      <c r="N23" s="1053">
        <f t="shared" ref="N23:N86" ca="1" si="25">L23*M23</f>
        <v>0</v>
      </c>
      <c r="P23" s="1049">
        <f t="shared" ca="1" si="18"/>
        <v>920.01</v>
      </c>
      <c r="Q23" s="1050">
        <f t="shared" ca="1" si="19"/>
        <v>1060</v>
      </c>
      <c r="R23" s="1051">
        <f t="shared" si="20"/>
        <v>0.68199999999999994</v>
      </c>
      <c r="S23" s="1050">
        <f t="shared" ca="1" si="8"/>
        <v>630</v>
      </c>
      <c r="T23" s="1052">
        <f t="shared" ca="1" si="2"/>
        <v>0</v>
      </c>
      <c r="U23" s="1053">
        <f t="shared" ref="U23:U86" ca="1" si="26">S23*T23</f>
        <v>0</v>
      </c>
      <c r="W23" s="1049">
        <f t="shared" ca="1" si="21"/>
        <v>780.01</v>
      </c>
      <c r="X23" s="1050">
        <f t="shared" ca="1" si="22"/>
        <v>920</v>
      </c>
      <c r="Y23" s="1051">
        <f t="shared" si="23"/>
        <v>0.68199999999999994</v>
      </c>
      <c r="Z23" s="1050">
        <f t="shared" ca="1" si="10"/>
        <v>530</v>
      </c>
      <c r="AA23" s="1052">
        <f t="shared" ca="1" si="3"/>
        <v>0</v>
      </c>
      <c r="AB23" s="1053">
        <f t="shared" ref="AB23:AB86" ca="1" si="27">Z23*AA23</f>
        <v>0</v>
      </c>
    </row>
    <row r="24" spans="2:28" x14ac:dyDescent="0.25">
      <c r="B24" s="1049">
        <f t="shared" ca="1" si="12"/>
        <v>980.01</v>
      </c>
      <c r="C24" s="1050">
        <f t="shared" ca="1" si="13"/>
        <v>1120</v>
      </c>
      <c r="D24" s="1051">
        <f t="shared" si="14"/>
        <v>0.67899999999999994</v>
      </c>
      <c r="E24" s="1050">
        <f t="shared" ca="1" si="4"/>
        <v>670</v>
      </c>
      <c r="F24" s="1052">
        <f t="shared" ca="1" si="0"/>
        <v>0</v>
      </c>
      <c r="G24" s="1053">
        <f t="shared" ca="1" si="24"/>
        <v>0</v>
      </c>
      <c r="I24" s="1049">
        <f t="shared" ca="1" si="15"/>
        <v>980.01</v>
      </c>
      <c r="J24" s="1050">
        <f t="shared" ca="1" si="16"/>
        <v>1120</v>
      </c>
      <c r="K24" s="1051">
        <f t="shared" si="17"/>
        <v>0.67899999999999994</v>
      </c>
      <c r="L24" s="1050">
        <f t="shared" ca="1" si="6"/>
        <v>670</v>
      </c>
      <c r="M24" s="1052">
        <f t="shared" ca="1" si="1"/>
        <v>0</v>
      </c>
      <c r="N24" s="1053">
        <f t="shared" ca="1" si="25"/>
        <v>0</v>
      </c>
      <c r="P24" s="1049">
        <f t="shared" ca="1" si="18"/>
        <v>1060.01</v>
      </c>
      <c r="Q24" s="1050">
        <f t="shared" ca="1" si="19"/>
        <v>1200</v>
      </c>
      <c r="R24" s="1051">
        <f t="shared" si="20"/>
        <v>0.67899999999999994</v>
      </c>
      <c r="S24" s="1050">
        <f t="shared" ca="1" si="8"/>
        <v>720</v>
      </c>
      <c r="T24" s="1052">
        <f t="shared" ca="1" si="2"/>
        <v>0</v>
      </c>
      <c r="U24" s="1053">
        <f t="shared" ca="1" si="26"/>
        <v>0</v>
      </c>
      <c r="W24" s="1049">
        <f t="shared" ca="1" si="21"/>
        <v>920.01</v>
      </c>
      <c r="X24" s="1050">
        <f t="shared" ca="1" si="22"/>
        <v>1060</v>
      </c>
      <c r="Y24" s="1051">
        <f t="shared" si="23"/>
        <v>0.67899999999999994</v>
      </c>
      <c r="Z24" s="1050">
        <f t="shared" ca="1" si="10"/>
        <v>620</v>
      </c>
      <c r="AA24" s="1052">
        <f t="shared" ca="1" si="3"/>
        <v>0</v>
      </c>
      <c r="AB24" s="1053">
        <f t="shared" ca="1" si="27"/>
        <v>0</v>
      </c>
    </row>
    <row r="25" spans="2:28" x14ac:dyDescent="0.25">
      <c r="B25" s="1049">
        <f t="shared" ca="1" si="12"/>
        <v>1120.01</v>
      </c>
      <c r="C25" s="1050">
        <f t="shared" ca="1" si="13"/>
        <v>1260</v>
      </c>
      <c r="D25" s="1051">
        <f t="shared" si="14"/>
        <v>0.67599999999999993</v>
      </c>
      <c r="E25" s="1050">
        <f t="shared" ca="1" si="4"/>
        <v>760</v>
      </c>
      <c r="F25" s="1052">
        <f t="shared" ca="1" si="0"/>
        <v>0</v>
      </c>
      <c r="G25" s="1053">
        <f t="shared" ca="1" si="24"/>
        <v>0</v>
      </c>
      <c r="I25" s="1049">
        <f t="shared" ca="1" si="15"/>
        <v>1120.01</v>
      </c>
      <c r="J25" s="1050">
        <f t="shared" ca="1" si="16"/>
        <v>1260</v>
      </c>
      <c r="K25" s="1051">
        <f t="shared" si="17"/>
        <v>0.67599999999999993</v>
      </c>
      <c r="L25" s="1050">
        <f t="shared" ca="1" si="6"/>
        <v>760</v>
      </c>
      <c r="M25" s="1052">
        <f t="shared" ca="1" si="1"/>
        <v>0</v>
      </c>
      <c r="N25" s="1053">
        <f t="shared" ca="1" si="25"/>
        <v>0</v>
      </c>
      <c r="P25" s="1049">
        <f t="shared" ca="1" si="18"/>
        <v>1200.01</v>
      </c>
      <c r="Q25" s="1050">
        <f t="shared" ca="1" si="19"/>
        <v>1340</v>
      </c>
      <c r="R25" s="1051">
        <f t="shared" si="20"/>
        <v>0.67599999999999993</v>
      </c>
      <c r="S25" s="1050">
        <f t="shared" ca="1" si="8"/>
        <v>810</v>
      </c>
      <c r="T25" s="1052">
        <f t="shared" ca="1" si="2"/>
        <v>0</v>
      </c>
      <c r="U25" s="1053">
        <f t="shared" ca="1" si="26"/>
        <v>0</v>
      </c>
      <c r="W25" s="1049">
        <f t="shared" ca="1" si="21"/>
        <v>1060.01</v>
      </c>
      <c r="X25" s="1050">
        <f t="shared" ca="1" si="22"/>
        <v>1200</v>
      </c>
      <c r="Y25" s="1051">
        <f t="shared" si="23"/>
        <v>0.67599999999999993</v>
      </c>
      <c r="Z25" s="1050">
        <f t="shared" ca="1" si="10"/>
        <v>720</v>
      </c>
      <c r="AA25" s="1052">
        <f t="shared" ca="1" si="3"/>
        <v>0</v>
      </c>
      <c r="AB25" s="1053">
        <f t="shared" ca="1" si="27"/>
        <v>0</v>
      </c>
    </row>
    <row r="26" spans="2:28" x14ac:dyDescent="0.25">
      <c r="B26" s="1049">
        <f t="shared" ca="1" si="12"/>
        <v>1260.01</v>
      </c>
      <c r="C26" s="1050">
        <f t="shared" ca="1" si="13"/>
        <v>1400</v>
      </c>
      <c r="D26" s="1051">
        <f t="shared" si="14"/>
        <v>0.67299999999999993</v>
      </c>
      <c r="E26" s="1050">
        <f t="shared" ca="1" si="4"/>
        <v>850</v>
      </c>
      <c r="F26" s="1052">
        <f t="shared" ca="1" si="0"/>
        <v>0</v>
      </c>
      <c r="G26" s="1053">
        <f t="shared" ca="1" si="24"/>
        <v>0</v>
      </c>
      <c r="I26" s="1049">
        <f t="shared" ca="1" si="15"/>
        <v>1260.01</v>
      </c>
      <c r="J26" s="1050">
        <f t="shared" ca="1" si="16"/>
        <v>1400</v>
      </c>
      <c r="K26" s="1051">
        <f t="shared" si="17"/>
        <v>0.67299999999999993</v>
      </c>
      <c r="L26" s="1050">
        <f t="shared" ca="1" si="6"/>
        <v>850</v>
      </c>
      <c r="M26" s="1052">
        <f t="shared" ca="1" si="1"/>
        <v>0</v>
      </c>
      <c r="N26" s="1053">
        <f t="shared" ca="1" si="25"/>
        <v>0</v>
      </c>
      <c r="P26" s="1049">
        <f t="shared" ca="1" si="18"/>
        <v>1340.01</v>
      </c>
      <c r="Q26" s="1050">
        <f t="shared" ca="1" si="19"/>
        <v>1480</v>
      </c>
      <c r="R26" s="1051">
        <f t="shared" si="20"/>
        <v>0.67299999999999993</v>
      </c>
      <c r="S26" s="1050">
        <f t="shared" ca="1" si="8"/>
        <v>900</v>
      </c>
      <c r="T26" s="1052">
        <f t="shared" ca="1" si="2"/>
        <v>0</v>
      </c>
      <c r="U26" s="1053">
        <f t="shared" ca="1" si="26"/>
        <v>0</v>
      </c>
      <c r="W26" s="1049">
        <f t="shared" ca="1" si="21"/>
        <v>1200.01</v>
      </c>
      <c r="X26" s="1050">
        <f t="shared" ca="1" si="22"/>
        <v>1340</v>
      </c>
      <c r="Y26" s="1051">
        <f t="shared" si="23"/>
        <v>0.67299999999999993</v>
      </c>
      <c r="Z26" s="1050">
        <f t="shared" ca="1" si="10"/>
        <v>810</v>
      </c>
      <c r="AA26" s="1052">
        <f t="shared" ca="1" si="3"/>
        <v>0</v>
      </c>
      <c r="AB26" s="1053">
        <f t="shared" ca="1" si="27"/>
        <v>0</v>
      </c>
    </row>
    <row r="27" spans="2:28" x14ac:dyDescent="0.25">
      <c r="B27" s="1049">
        <f t="shared" ca="1" si="12"/>
        <v>1400.01</v>
      </c>
      <c r="C27" s="1050">
        <f t="shared" ca="1" si="13"/>
        <v>1540</v>
      </c>
      <c r="D27" s="1051">
        <f t="shared" si="14"/>
        <v>0.66999999999999993</v>
      </c>
      <c r="E27" s="1050">
        <f t="shared" ca="1" si="4"/>
        <v>940</v>
      </c>
      <c r="F27" s="1052">
        <f t="shared" ca="1" si="0"/>
        <v>0</v>
      </c>
      <c r="G27" s="1053">
        <f t="shared" ca="1" si="24"/>
        <v>0</v>
      </c>
      <c r="I27" s="1049">
        <f t="shared" ca="1" si="15"/>
        <v>1400.01</v>
      </c>
      <c r="J27" s="1050">
        <f t="shared" ca="1" si="16"/>
        <v>1540</v>
      </c>
      <c r="K27" s="1051">
        <f t="shared" si="17"/>
        <v>0.66999999999999993</v>
      </c>
      <c r="L27" s="1050">
        <f t="shared" ca="1" si="6"/>
        <v>940</v>
      </c>
      <c r="M27" s="1052">
        <f t="shared" ca="1" si="1"/>
        <v>0</v>
      </c>
      <c r="N27" s="1053">
        <f t="shared" ca="1" si="25"/>
        <v>0</v>
      </c>
      <c r="P27" s="1049">
        <f t="shared" ca="1" si="18"/>
        <v>1480.01</v>
      </c>
      <c r="Q27" s="1050">
        <f t="shared" ca="1" si="19"/>
        <v>1620</v>
      </c>
      <c r="R27" s="1051">
        <f t="shared" si="20"/>
        <v>0.66999999999999993</v>
      </c>
      <c r="S27" s="1050">
        <f t="shared" ca="1" si="8"/>
        <v>990</v>
      </c>
      <c r="T27" s="1052">
        <f t="shared" ca="1" si="2"/>
        <v>0</v>
      </c>
      <c r="U27" s="1053">
        <f t="shared" ca="1" si="26"/>
        <v>0</v>
      </c>
      <c r="W27" s="1049">
        <f t="shared" ca="1" si="21"/>
        <v>1340.01</v>
      </c>
      <c r="X27" s="1050">
        <f t="shared" ca="1" si="22"/>
        <v>1480</v>
      </c>
      <c r="Y27" s="1051">
        <f t="shared" si="23"/>
        <v>0.66999999999999993</v>
      </c>
      <c r="Z27" s="1050">
        <f t="shared" ca="1" si="10"/>
        <v>900</v>
      </c>
      <c r="AA27" s="1052">
        <f t="shared" ca="1" si="3"/>
        <v>0</v>
      </c>
      <c r="AB27" s="1053">
        <f t="shared" ca="1" si="27"/>
        <v>0</v>
      </c>
    </row>
    <row r="28" spans="2:28" x14ac:dyDescent="0.25">
      <c r="B28" s="1049">
        <f t="shared" ca="1" si="12"/>
        <v>1540.01</v>
      </c>
      <c r="C28" s="1050">
        <f t="shared" ca="1" si="13"/>
        <v>1680</v>
      </c>
      <c r="D28" s="1051">
        <f t="shared" si="14"/>
        <v>0.66699999999999993</v>
      </c>
      <c r="E28" s="1050">
        <f t="shared" ca="1" si="4"/>
        <v>1030</v>
      </c>
      <c r="F28" s="1052">
        <f t="shared" ca="1" si="0"/>
        <v>0</v>
      </c>
      <c r="G28" s="1053">
        <f t="shared" ca="1" si="24"/>
        <v>0</v>
      </c>
      <c r="I28" s="1049">
        <f t="shared" ca="1" si="15"/>
        <v>1540.01</v>
      </c>
      <c r="J28" s="1050">
        <f t="shared" ca="1" si="16"/>
        <v>1680</v>
      </c>
      <c r="K28" s="1051">
        <f t="shared" si="17"/>
        <v>0.66699999999999993</v>
      </c>
      <c r="L28" s="1050">
        <f t="shared" ca="1" si="6"/>
        <v>1030</v>
      </c>
      <c r="M28" s="1052">
        <f t="shared" ca="1" si="1"/>
        <v>0</v>
      </c>
      <c r="N28" s="1053">
        <f t="shared" ca="1" si="25"/>
        <v>0</v>
      </c>
      <c r="P28" s="1049">
        <f t="shared" ca="1" si="18"/>
        <v>1620.01</v>
      </c>
      <c r="Q28" s="1050">
        <f t="shared" ca="1" si="19"/>
        <v>1760</v>
      </c>
      <c r="R28" s="1051">
        <f t="shared" si="20"/>
        <v>0.66699999999999993</v>
      </c>
      <c r="S28" s="1050">
        <f t="shared" ca="1" si="8"/>
        <v>1080</v>
      </c>
      <c r="T28" s="1052">
        <f t="shared" ca="1" si="2"/>
        <v>0</v>
      </c>
      <c r="U28" s="1053">
        <f t="shared" ca="1" si="26"/>
        <v>0</v>
      </c>
      <c r="W28" s="1049">
        <f t="shared" ca="1" si="21"/>
        <v>1480.01</v>
      </c>
      <c r="X28" s="1050">
        <f t="shared" ca="1" si="22"/>
        <v>1620</v>
      </c>
      <c r="Y28" s="1051">
        <f t="shared" si="23"/>
        <v>0.66699999999999993</v>
      </c>
      <c r="Z28" s="1050">
        <f t="shared" ca="1" si="10"/>
        <v>990</v>
      </c>
      <c r="AA28" s="1052">
        <f t="shared" ca="1" si="3"/>
        <v>0</v>
      </c>
      <c r="AB28" s="1053">
        <f t="shared" ca="1" si="27"/>
        <v>0</v>
      </c>
    </row>
    <row r="29" spans="2:28" x14ac:dyDescent="0.25">
      <c r="B29" s="1049">
        <f t="shared" ca="1" si="12"/>
        <v>1680.01</v>
      </c>
      <c r="C29" s="1050">
        <f t="shared" ca="1" si="13"/>
        <v>1820</v>
      </c>
      <c r="D29" s="1051">
        <f t="shared" si="14"/>
        <v>0.66399999999999992</v>
      </c>
      <c r="E29" s="1050">
        <f t="shared" ca="1" si="4"/>
        <v>1120</v>
      </c>
      <c r="F29" s="1052">
        <f t="shared" ca="1" si="0"/>
        <v>0</v>
      </c>
      <c r="G29" s="1053">
        <f t="shared" ca="1" si="24"/>
        <v>0</v>
      </c>
      <c r="I29" s="1049">
        <f t="shared" ca="1" si="15"/>
        <v>1680.01</v>
      </c>
      <c r="J29" s="1050">
        <f t="shared" ca="1" si="16"/>
        <v>1820</v>
      </c>
      <c r="K29" s="1051">
        <f t="shared" si="17"/>
        <v>0.66399999999999992</v>
      </c>
      <c r="L29" s="1050">
        <f t="shared" ca="1" si="6"/>
        <v>1120</v>
      </c>
      <c r="M29" s="1052">
        <f t="shared" ca="1" si="1"/>
        <v>0</v>
      </c>
      <c r="N29" s="1053">
        <f t="shared" ca="1" si="25"/>
        <v>0</v>
      </c>
      <c r="P29" s="1049">
        <f t="shared" ca="1" si="18"/>
        <v>1760.01</v>
      </c>
      <c r="Q29" s="1050">
        <f t="shared" ca="1" si="19"/>
        <v>1900</v>
      </c>
      <c r="R29" s="1051">
        <f t="shared" si="20"/>
        <v>0.66399999999999992</v>
      </c>
      <c r="S29" s="1050">
        <f t="shared" ca="1" si="8"/>
        <v>1170</v>
      </c>
      <c r="T29" s="1052">
        <f t="shared" ca="1" si="2"/>
        <v>0</v>
      </c>
      <c r="U29" s="1053">
        <f t="shared" ca="1" si="26"/>
        <v>0</v>
      </c>
      <c r="W29" s="1049">
        <f t="shared" ca="1" si="21"/>
        <v>1620.01</v>
      </c>
      <c r="X29" s="1050">
        <f t="shared" ca="1" si="22"/>
        <v>1760</v>
      </c>
      <c r="Y29" s="1051">
        <f t="shared" si="23"/>
        <v>0.66399999999999992</v>
      </c>
      <c r="Z29" s="1050">
        <f t="shared" ca="1" si="10"/>
        <v>1080</v>
      </c>
      <c r="AA29" s="1052">
        <f t="shared" ca="1" si="3"/>
        <v>0</v>
      </c>
      <c r="AB29" s="1053">
        <f t="shared" ca="1" si="27"/>
        <v>0</v>
      </c>
    </row>
    <row r="30" spans="2:28" x14ac:dyDescent="0.25">
      <c r="B30" s="1049">
        <f t="shared" ca="1" si="12"/>
        <v>1820.01</v>
      </c>
      <c r="C30" s="1050">
        <f t="shared" ca="1" si="13"/>
        <v>1960</v>
      </c>
      <c r="D30" s="1051">
        <f t="shared" si="14"/>
        <v>0.66099999999999992</v>
      </c>
      <c r="E30" s="1050">
        <f t="shared" ca="1" si="4"/>
        <v>1200</v>
      </c>
      <c r="F30" s="1052">
        <f t="shared" ca="1" si="0"/>
        <v>0</v>
      </c>
      <c r="G30" s="1053">
        <f t="shared" ca="1" si="24"/>
        <v>0</v>
      </c>
      <c r="I30" s="1049">
        <f t="shared" ca="1" si="15"/>
        <v>1820.01</v>
      </c>
      <c r="J30" s="1050">
        <f t="shared" ca="1" si="16"/>
        <v>1960</v>
      </c>
      <c r="K30" s="1051">
        <f t="shared" si="17"/>
        <v>0.66099999999999992</v>
      </c>
      <c r="L30" s="1050">
        <f t="shared" ca="1" si="6"/>
        <v>1200</v>
      </c>
      <c r="M30" s="1052">
        <f t="shared" ca="1" si="1"/>
        <v>0</v>
      </c>
      <c r="N30" s="1053">
        <f t="shared" ca="1" si="25"/>
        <v>0</v>
      </c>
      <c r="P30" s="1049">
        <f t="shared" ca="1" si="18"/>
        <v>1900.01</v>
      </c>
      <c r="Q30" s="1050">
        <f t="shared" ca="1" si="19"/>
        <v>2040</v>
      </c>
      <c r="R30" s="1051">
        <f t="shared" si="20"/>
        <v>0.66099999999999992</v>
      </c>
      <c r="S30" s="1050">
        <f t="shared" ca="1" si="8"/>
        <v>1260</v>
      </c>
      <c r="T30" s="1052">
        <f t="shared" ca="1" si="2"/>
        <v>0</v>
      </c>
      <c r="U30" s="1053">
        <f t="shared" ca="1" si="26"/>
        <v>0</v>
      </c>
      <c r="W30" s="1049">
        <f t="shared" ca="1" si="21"/>
        <v>1760.01</v>
      </c>
      <c r="X30" s="1050">
        <f t="shared" ca="1" si="22"/>
        <v>1900</v>
      </c>
      <c r="Y30" s="1051">
        <f t="shared" si="23"/>
        <v>0.66099999999999992</v>
      </c>
      <c r="Z30" s="1050">
        <f t="shared" ca="1" si="10"/>
        <v>1160</v>
      </c>
      <c r="AA30" s="1052">
        <f t="shared" ca="1" si="3"/>
        <v>0</v>
      </c>
      <c r="AB30" s="1053">
        <f t="shared" ca="1" si="27"/>
        <v>0</v>
      </c>
    </row>
    <row r="31" spans="2:28" x14ac:dyDescent="0.25">
      <c r="B31" s="1049">
        <f t="shared" ca="1" si="12"/>
        <v>1960.01</v>
      </c>
      <c r="C31" s="1050">
        <f t="shared" ca="1" si="13"/>
        <v>2100</v>
      </c>
      <c r="D31" s="1051">
        <f t="shared" si="14"/>
        <v>0.65799999999999992</v>
      </c>
      <c r="E31" s="1050">
        <f t="shared" ca="1" si="4"/>
        <v>1290</v>
      </c>
      <c r="F31" s="1052">
        <f t="shared" ca="1" si="0"/>
        <v>0</v>
      </c>
      <c r="G31" s="1053">
        <f t="shared" ca="1" si="24"/>
        <v>0</v>
      </c>
      <c r="I31" s="1049">
        <f t="shared" ca="1" si="15"/>
        <v>1960.01</v>
      </c>
      <c r="J31" s="1050">
        <f t="shared" ca="1" si="16"/>
        <v>2100</v>
      </c>
      <c r="K31" s="1051">
        <f t="shared" si="17"/>
        <v>0.65799999999999992</v>
      </c>
      <c r="L31" s="1050">
        <f t="shared" ca="1" si="6"/>
        <v>1290</v>
      </c>
      <c r="M31" s="1052">
        <f t="shared" ca="1" si="1"/>
        <v>0</v>
      </c>
      <c r="N31" s="1053">
        <f t="shared" ca="1" si="25"/>
        <v>0</v>
      </c>
      <c r="P31" s="1049">
        <f t="shared" ca="1" si="18"/>
        <v>2040.01</v>
      </c>
      <c r="Q31" s="1050">
        <f t="shared" ca="1" si="19"/>
        <v>2180</v>
      </c>
      <c r="R31" s="1051">
        <f t="shared" si="20"/>
        <v>0.65799999999999992</v>
      </c>
      <c r="S31" s="1050">
        <f t="shared" ca="1" si="8"/>
        <v>1340</v>
      </c>
      <c r="T31" s="1052">
        <f t="shared" ca="1" si="2"/>
        <v>0</v>
      </c>
      <c r="U31" s="1053">
        <f t="shared" ca="1" si="26"/>
        <v>0</v>
      </c>
      <c r="W31" s="1049">
        <f t="shared" ca="1" si="21"/>
        <v>1900.01</v>
      </c>
      <c r="X31" s="1050">
        <f t="shared" ca="1" si="22"/>
        <v>2040</v>
      </c>
      <c r="Y31" s="1051">
        <f t="shared" si="23"/>
        <v>0.65799999999999992</v>
      </c>
      <c r="Z31" s="1050">
        <f t="shared" ca="1" si="10"/>
        <v>1250</v>
      </c>
      <c r="AA31" s="1052">
        <f t="shared" ca="1" si="3"/>
        <v>0</v>
      </c>
      <c r="AB31" s="1053">
        <f t="shared" ca="1" si="27"/>
        <v>0</v>
      </c>
    </row>
    <row r="32" spans="2:28" x14ac:dyDescent="0.25">
      <c r="B32" s="1049">
        <f t="shared" ca="1" si="12"/>
        <v>2100.0100000000002</v>
      </c>
      <c r="C32" s="1050">
        <f t="shared" ca="1" si="13"/>
        <v>2240</v>
      </c>
      <c r="D32" s="1051">
        <f t="shared" si="14"/>
        <v>0.65499999999999992</v>
      </c>
      <c r="E32" s="1050">
        <f t="shared" ca="1" si="4"/>
        <v>1380</v>
      </c>
      <c r="F32" s="1052">
        <f t="shared" ca="1" si="0"/>
        <v>0</v>
      </c>
      <c r="G32" s="1053">
        <f t="shared" ca="1" si="24"/>
        <v>0</v>
      </c>
      <c r="I32" s="1049">
        <f t="shared" ca="1" si="15"/>
        <v>2100.0100000000002</v>
      </c>
      <c r="J32" s="1050">
        <f t="shared" ca="1" si="16"/>
        <v>2240</v>
      </c>
      <c r="K32" s="1051">
        <f t="shared" si="17"/>
        <v>0.65499999999999992</v>
      </c>
      <c r="L32" s="1050">
        <f t="shared" ca="1" si="6"/>
        <v>1380</v>
      </c>
      <c r="M32" s="1052">
        <f t="shared" ca="1" si="1"/>
        <v>0</v>
      </c>
      <c r="N32" s="1053">
        <f t="shared" ca="1" si="25"/>
        <v>0</v>
      </c>
      <c r="P32" s="1049">
        <f t="shared" ca="1" si="18"/>
        <v>2180.0100000000002</v>
      </c>
      <c r="Q32" s="1050">
        <f t="shared" ca="1" si="19"/>
        <v>2320</v>
      </c>
      <c r="R32" s="1051">
        <f t="shared" si="20"/>
        <v>0.65499999999999992</v>
      </c>
      <c r="S32" s="1050">
        <f t="shared" ca="1" si="8"/>
        <v>1430</v>
      </c>
      <c r="T32" s="1052">
        <f t="shared" ca="1" si="2"/>
        <v>0</v>
      </c>
      <c r="U32" s="1053">
        <f t="shared" ca="1" si="26"/>
        <v>0</v>
      </c>
      <c r="W32" s="1049">
        <f t="shared" ca="1" si="21"/>
        <v>2040.01</v>
      </c>
      <c r="X32" s="1050">
        <f t="shared" ca="1" si="22"/>
        <v>2180</v>
      </c>
      <c r="Y32" s="1051">
        <f t="shared" si="23"/>
        <v>0.65499999999999992</v>
      </c>
      <c r="Z32" s="1050">
        <f t="shared" ca="1" si="10"/>
        <v>1340</v>
      </c>
      <c r="AA32" s="1052">
        <f t="shared" ca="1" si="3"/>
        <v>0</v>
      </c>
      <c r="AB32" s="1053">
        <f t="shared" ca="1" si="27"/>
        <v>0</v>
      </c>
    </row>
    <row r="33" spans="2:28" x14ac:dyDescent="0.25">
      <c r="B33" s="1049">
        <f t="shared" ca="1" si="12"/>
        <v>2240.0100000000002</v>
      </c>
      <c r="C33" s="1050">
        <f t="shared" ca="1" si="13"/>
        <v>2380</v>
      </c>
      <c r="D33" s="1051">
        <f t="shared" si="14"/>
        <v>0.65199999999999991</v>
      </c>
      <c r="E33" s="1050">
        <f t="shared" ca="1" si="4"/>
        <v>1460</v>
      </c>
      <c r="F33" s="1052">
        <f t="shared" ca="1" si="0"/>
        <v>0</v>
      </c>
      <c r="G33" s="1053">
        <f t="shared" ca="1" si="24"/>
        <v>0</v>
      </c>
      <c r="I33" s="1049">
        <f t="shared" ca="1" si="15"/>
        <v>2240.0100000000002</v>
      </c>
      <c r="J33" s="1050">
        <f t="shared" ca="1" si="16"/>
        <v>2380</v>
      </c>
      <c r="K33" s="1051">
        <f t="shared" si="17"/>
        <v>0.65199999999999991</v>
      </c>
      <c r="L33" s="1050">
        <f t="shared" ca="1" si="6"/>
        <v>1460</v>
      </c>
      <c r="M33" s="1052">
        <f t="shared" ca="1" si="1"/>
        <v>0</v>
      </c>
      <c r="N33" s="1053">
        <f t="shared" ca="1" si="25"/>
        <v>0</v>
      </c>
      <c r="P33" s="1049">
        <f t="shared" ca="1" si="18"/>
        <v>2320.0100000000002</v>
      </c>
      <c r="Q33" s="1050">
        <f t="shared" ca="1" si="19"/>
        <v>2460</v>
      </c>
      <c r="R33" s="1051">
        <f t="shared" si="20"/>
        <v>0.65199999999999991</v>
      </c>
      <c r="S33" s="1050">
        <f t="shared" ca="1" si="8"/>
        <v>1510</v>
      </c>
      <c r="T33" s="1052">
        <f t="shared" ca="1" si="2"/>
        <v>0</v>
      </c>
      <c r="U33" s="1053">
        <f t="shared" ca="1" si="26"/>
        <v>0</v>
      </c>
      <c r="W33" s="1049">
        <f t="shared" ca="1" si="21"/>
        <v>2180.0100000000002</v>
      </c>
      <c r="X33" s="1050">
        <f t="shared" ca="1" si="22"/>
        <v>2320</v>
      </c>
      <c r="Y33" s="1051">
        <f t="shared" si="23"/>
        <v>0.65199999999999991</v>
      </c>
      <c r="Z33" s="1050">
        <f t="shared" ca="1" si="10"/>
        <v>1420</v>
      </c>
      <c r="AA33" s="1052">
        <f t="shared" ca="1" si="3"/>
        <v>0</v>
      </c>
      <c r="AB33" s="1053">
        <f t="shared" ca="1" si="27"/>
        <v>0</v>
      </c>
    </row>
    <row r="34" spans="2:28" x14ac:dyDescent="0.25">
      <c r="B34" s="1049">
        <f t="shared" ca="1" si="12"/>
        <v>2380.0100000000002</v>
      </c>
      <c r="C34" s="1050">
        <f t="shared" ca="1" si="13"/>
        <v>2520</v>
      </c>
      <c r="D34" s="1051">
        <f t="shared" si="14"/>
        <v>0.64899999999999991</v>
      </c>
      <c r="E34" s="1050">
        <f t="shared" ca="1" si="4"/>
        <v>1540</v>
      </c>
      <c r="F34" s="1052">
        <f t="shared" ca="1" si="0"/>
        <v>0</v>
      </c>
      <c r="G34" s="1053">
        <f t="shared" ca="1" si="24"/>
        <v>0</v>
      </c>
      <c r="I34" s="1049">
        <f t="shared" ca="1" si="15"/>
        <v>2380.0100000000002</v>
      </c>
      <c r="J34" s="1050">
        <f t="shared" ca="1" si="16"/>
        <v>2520</v>
      </c>
      <c r="K34" s="1051">
        <f t="shared" si="17"/>
        <v>0.64899999999999991</v>
      </c>
      <c r="L34" s="1050">
        <f t="shared" ca="1" si="6"/>
        <v>1540</v>
      </c>
      <c r="M34" s="1052">
        <f t="shared" ca="1" si="1"/>
        <v>0</v>
      </c>
      <c r="N34" s="1053">
        <f t="shared" ca="1" si="25"/>
        <v>0</v>
      </c>
      <c r="P34" s="1049">
        <f t="shared" ca="1" si="18"/>
        <v>2460.0100000000002</v>
      </c>
      <c r="Q34" s="1050">
        <f t="shared" ca="1" si="19"/>
        <v>2600</v>
      </c>
      <c r="R34" s="1051">
        <f t="shared" si="20"/>
        <v>0.64899999999999991</v>
      </c>
      <c r="S34" s="1050">
        <f t="shared" ca="1" si="8"/>
        <v>1600</v>
      </c>
      <c r="T34" s="1052">
        <f t="shared" ca="1" si="2"/>
        <v>0</v>
      </c>
      <c r="U34" s="1053">
        <f t="shared" ca="1" si="26"/>
        <v>0</v>
      </c>
      <c r="W34" s="1049">
        <f t="shared" ca="1" si="21"/>
        <v>2320.0100000000002</v>
      </c>
      <c r="X34" s="1050">
        <f t="shared" ca="1" si="22"/>
        <v>2460</v>
      </c>
      <c r="Y34" s="1051">
        <f t="shared" si="23"/>
        <v>0.64899999999999991</v>
      </c>
      <c r="Z34" s="1050">
        <f t="shared" ca="1" si="10"/>
        <v>1510</v>
      </c>
      <c r="AA34" s="1052">
        <f t="shared" ca="1" si="3"/>
        <v>0</v>
      </c>
      <c r="AB34" s="1053">
        <f t="shared" ca="1" si="27"/>
        <v>0</v>
      </c>
    </row>
    <row r="35" spans="2:28" x14ac:dyDescent="0.25">
      <c r="B35" s="1049">
        <f t="shared" ca="1" si="12"/>
        <v>2520.0100000000002</v>
      </c>
      <c r="C35" s="1050">
        <f t="shared" ca="1" si="13"/>
        <v>2660</v>
      </c>
      <c r="D35" s="1051">
        <f t="shared" si="14"/>
        <v>0.64599999999999991</v>
      </c>
      <c r="E35" s="1050">
        <f t="shared" ca="1" si="4"/>
        <v>1630</v>
      </c>
      <c r="F35" s="1052">
        <f t="shared" ca="1" si="0"/>
        <v>0</v>
      </c>
      <c r="G35" s="1053">
        <f t="shared" ca="1" si="24"/>
        <v>0</v>
      </c>
      <c r="I35" s="1049">
        <f t="shared" ca="1" si="15"/>
        <v>2520.0100000000002</v>
      </c>
      <c r="J35" s="1050">
        <f t="shared" ca="1" si="16"/>
        <v>2660</v>
      </c>
      <c r="K35" s="1051">
        <f t="shared" si="17"/>
        <v>0.64599999999999991</v>
      </c>
      <c r="L35" s="1050">
        <f t="shared" ca="1" si="6"/>
        <v>1630</v>
      </c>
      <c r="M35" s="1052">
        <f t="shared" ca="1" si="1"/>
        <v>0</v>
      </c>
      <c r="N35" s="1053">
        <f t="shared" ca="1" si="25"/>
        <v>0</v>
      </c>
      <c r="P35" s="1049">
        <f t="shared" ca="1" si="18"/>
        <v>2600.0100000000002</v>
      </c>
      <c r="Q35" s="1050">
        <f t="shared" ca="1" si="19"/>
        <v>2740</v>
      </c>
      <c r="R35" s="1051">
        <f t="shared" si="20"/>
        <v>0.64599999999999991</v>
      </c>
      <c r="S35" s="1050">
        <f t="shared" ca="1" si="8"/>
        <v>1680</v>
      </c>
      <c r="T35" s="1052">
        <f t="shared" ca="1" si="2"/>
        <v>0</v>
      </c>
      <c r="U35" s="1053">
        <f t="shared" ca="1" si="26"/>
        <v>0</v>
      </c>
      <c r="W35" s="1049">
        <f t="shared" ca="1" si="21"/>
        <v>2460.0100000000002</v>
      </c>
      <c r="X35" s="1050">
        <f t="shared" ca="1" si="22"/>
        <v>2600</v>
      </c>
      <c r="Y35" s="1051">
        <f t="shared" si="23"/>
        <v>0.64599999999999991</v>
      </c>
      <c r="Z35" s="1050">
        <f t="shared" ca="1" si="10"/>
        <v>1590</v>
      </c>
      <c r="AA35" s="1052">
        <f t="shared" ca="1" si="3"/>
        <v>0</v>
      </c>
      <c r="AB35" s="1053">
        <f t="shared" ca="1" si="27"/>
        <v>0</v>
      </c>
    </row>
    <row r="36" spans="2:28" x14ac:dyDescent="0.25">
      <c r="B36" s="1049">
        <f t="shared" ca="1" si="12"/>
        <v>2660.01</v>
      </c>
      <c r="C36" s="1050">
        <f t="shared" ca="1" si="13"/>
        <v>2800</v>
      </c>
      <c r="D36" s="1051">
        <f t="shared" si="14"/>
        <v>0.6429999999999999</v>
      </c>
      <c r="E36" s="1050">
        <f t="shared" ca="1" si="4"/>
        <v>1710</v>
      </c>
      <c r="F36" s="1052">
        <f t="shared" ca="1" si="0"/>
        <v>0</v>
      </c>
      <c r="G36" s="1053">
        <f t="shared" ca="1" si="24"/>
        <v>0</v>
      </c>
      <c r="I36" s="1049">
        <f t="shared" ca="1" si="15"/>
        <v>2660.01</v>
      </c>
      <c r="J36" s="1050">
        <f t="shared" ca="1" si="16"/>
        <v>2800</v>
      </c>
      <c r="K36" s="1051">
        <f t="shared" si="17"/>
        <v>0.6429999999999999</v>
      </c>
      <c r="L36" s="1050">
        <f t="shared" ca="1" si="6"/>
        <v>1710</v>
      </c>
      <c r="M36" s="1052">
        <f t="shared" ca="1" si="1"/>
        <v>0</v>
      </c>
      <c r="N36" s="1053">
        <f t="shared" ca="1" si="25"/>
        <v>0</v>
      </c>
      <c r="P36" s="1049">
        <f t="shared" ca="1" si="18"/>
        <v>2740.01</v>
      </c>
      <c r="Q36" s="1050">
        <f t="shared" ca="1" si="19"/>
        <v>2880</v>
      </c>
      <c r="R36" s="1051">
        <f t="shared" si="20"/>
        <v>0.6429999999999999</v>
      </c>
      <c r="S36" s="1050">
        <f t="shared" ca="1" si="8"/>
        <v>1760</v>
      </c>
      <c r="T36" s="1052">
        <f t="shared" ca="1" si="2"/>
        <v>0</v>
      </c>
      <c r="U36" s="1053">
        <f t="shared" ca="1" si="26"/>
        <v>0</v>
      </c>
      <c r="W36" s="1049">
        <f t="shared" ca="1" si="21"/>
        <v>2600.0100000000002</v>
      </c>
      <c r="X36" s="1050">
        <f t="shared" ca="1" si="22"/>
        <v>2740</v>
      </c>
      <c r="Y36" s="1051">
        <f t="shared" si="23"/>
        <v>0.6429999999999999</v>
      </c>
      <c r="Z36" s="1050">
        <f t="shared" ca="1" si="10"/>
        <v>1670</v>
      </c>
      <c r="AA36" s="1052">
        <f t="shared" ca="1" si="3"/>
        <v>0</v>
      </c>
      <c r="AB36" s="1053">
        <f t="shared" ca="1" si="27"/>
        <v>0</v>
      </c>
    </row>
    <row r="37" spans="2:28" x14ac:dyDescent="0.25">
      <c r="B37" s="1049">
        <f t="shared" ca="1" si="12"/>
        <v>2800.01</v>
      </c>
      <c r="C37" s="1050">
        <f t="shared" ca="1" si="13"/>
        <v>2940</v>
      </c>
      <c r="D37" s="1051">
        <f t="shared" si="14"/>
        <v>0.6399999999999999</v>
      </c>
      <c r="E37" s="1050">
        <f t="shared" ca="1" si="4"/>
        <v>1790</v>
      </c>
      <c r="F37" s="1052">
        <f t="shared" ca="1" si="0"/>
        <v>0</v>
      </c>
      <c r="G37" s="1053">
        <f t="shared" ca="1" si="24"/>
        <v>0</v>
      </c>
      <c r="I37" s="1049">
        <f t="shared" ca="1" si="15"/>
        <v>2800.01</v>
      </c>
      <c r="J37" s="1050">
        <f t="shared" ca="1" si="16"/>
        <v>2940</v>
      </c>
      <c r="K37" s="1051">
        <f t="shared" si="17"/>
        <v>0.6399999999999999</v>
      </c>
      <c r="L37" s="1050">
        <f t="shared" ca="1" si="6"/>
        <v>1790</v>
      </c>
      <c r="M37" s="1052">
        <f t="shared" ca="1" si="1"/>
        <v>0</v>
      </c>
      <c r="N37" s="1053">
        <f t="shared" ca="1" si="25"/>
        <v>0</v>
      </c>
      <c r="P37" s="1049">
        <f t="shared" ca="1" si="18"/>
        <v>2880.01</v>
      </c>
      <c r="Q37" s="1050">
        <f t="shared" ca="1" si="19"/>
        <v>3020</v>
      </c>
      <c r="R37" s="1051">
        <f t="shared" si="20"/>
        <v>0.6399999999999999</v>
      </c>
      <c r="S37" s="1050">
        <f t="shared" ca="1" si="8"/>
        <v>1840</v>
      </c>
      <c r="T37" s="1052">
        <f t="shared" ca="1" si="2"/>
        <v>0</v>
      </c>
      <c r="U37" s="1053">
        <f t="shared" ca="1" si="26"/>
        <v>0</v>
      </c>
      <c r="W37" s="1049">
        <f t="shared" ca="1" si="21"/>
        <v>2740.01</v>
      </c>
      <c r="X37" s="1050">
        <f t="shared" ca="1" si="22"/>
        <v>2880</v>
      </c>
      <c r="Y37" s="1051">
        <f t="shared" si="23"/>
        <v>0.6399999999999999</v>
      </c>
      <c r="Z37" s="1050">
        <f t="shared" ca="1" si="10"/>
        <v>1750</v>
      </c>
      <c r="AA37" s="1052">
        <f t="shared" ca="1" si="3"/>
        <v>0</v>
      </c>
      <c r="AB37" s="1053">
        <f t="shared" ca="1" si="27"/>
        <v>0</v>
      </c>
    </row>
    <row r="38" spans="2:28" x14ac:dyDescent="0.25">
      <c r="B38" s="1049">
        <f t="shared" ca="1" si="12"/>
        <v>2940.01</v>
      </c>
      <c r="C38" s="1050">
        <f t="shared" ca="1" si="13"/>
        <v>3080</v>
      </c>
      <c r="D38" s="1051">
        <f t="shared" si="14"/>
        <v>0.6369999999999999</v>
      </c>
      <c r="E38" s="1050">
        <f t="shared" ca="1" si="4"/>
        <v>1870</v>
      </c>
      <c r="F38" s="1052">
        <f t="shared" ca="1" si="0"/>
        <v>0</v>
      </c>
      <c r="G38" s="1053">
        <f t="shared" ca="1" si="24"/>
        <v>0</v>
      </c>
      <c r="I38" s="1049">
        <f t="shared" ca="1" si="15"/>
        <v>2940.01</v>
      </c>
      <c r="J38" s="1050">
        <f t="shared" ca="1" si="16"/>
        <v>3080</v>
      </c>
      <c r="K38" s="1051">
        <f t="shared" si="17"/>
        <v>0.6369999999999999</v>
      </c>
      <c r="L38" s="1050">
        <f t="shared" ca="1" si="6"/>
        <v>1870</v>
      </c>
      <c r="M38" s="1052">
        <f t="shared" ca="1" si="1"/>
        <v>0</v>
      </c>
      <c r="N38" s="1053">
        <f t="shared" ca="1" si="25"/>
        <v>0</v>
      </c>
      <c r="P38" s="1049">
        <f t="shared" ca="1" si="18"/>
        <v>3020.01</v>
      </c>
      <c r="Q38" s="1050">
        <f t="shared" ca="1" si="19"/>
        <v>3160</v>
      </c>
      <c r="R38" s="1051">
        <f t="shared" si="20"/>
        <v>0.6369999999999999</v>
      </c>
      <c r="S38" s="1050">
        <f t="shared" ca="1" si="8"/>
        <v>1920</v>
      </c>
      <c r="T38" s="1052">
        <f t="shared" ca="1" si="2"/>
        <v>0</v>
      </c>
      <c r="U38" s="1053">
        <f t="shared" ca="1" si="26"/>
        <v>0</v>
      </c>
      <c r="W38" s="1049">
        <f t="shared" ca="1" si="21"/>
        <v>2880.01</v>
      </c>
      <c r="X38" s="1050">
        <f t="shared" ca="1" si="22"/>
        <v>3020</v>
      </c>
      <c r="Y38" s="1051">
        <f t="shared" si="23"/>
        <v>0.6369999999999999</v>
      </c>
      <c r="Z38" s="1050">
        <f t="shared" ca="1" si="10"/>
        <v>1830</v>
      </c>
      <c r="AA38" s="1052">
        <f t="shared" ca="1" si="3"/>
        <v>0</v>
      </c>
      <c r="AB38" s="1053">
        <f t="shared" ca="1" si="27"/>
        <v>0</v>
      </c>
    </row>
    <row r="39" spans="2:28" x14ac:dyDescent="0.25">
      <c r="B39" s="1049">
        <f t="shared" ca="1" si="12"/>
        <v>3080.01</v>
      </c>
      <c r="C39" s="1050">
        <f t="shared" ca="1" si="13"/>
        <v>3220</v>
      </c>
      <c r="D39" s="1051">
        <f t="shared" si="14"/>
        <v>0.6339999999999999</v>
      </c>
      <c r="E39" s="1050">
        <f t="shared" ca="1" si="4"/>
        <v>1950</v>
      </c>
      <c r="F39" s="1052">
        <f t="shared" ca="1" si="0"/>
        <v>0</v>
      </c>
      <c r="G39" s="1053">
        <f t="shared" ca="1" si="24"/>
        <v>0</v>
      </c>
      <c r="I39" s="1049">
        <f t="shared" ca="1" si="15"/>
        <v>3080.01</v>
      </c>
      <c r="J39" s="1050">
        <f t="shared" ca="1" si="16"/>
        <v>3220</v>
      </c>
      <c r="K39" s="1051">
        <f t="shared" si="17"/>
        <v>0.6339999999999999</v>
      </c>
      <c r="L39" s="1050">
        <f t="shared" ca="1" si="6"/>
        <v>1950</v>
      </c>
      <c r="M39" s="1052">
        <f t="shared" ca="1" si="1"/>
        <v>0</v>
      </c>
      <c r="N39" s="1053">
        <f t="shared" ca="1" si="25"/>
        <v>0</v>
      </c>
      <c r="P39" s="1049">
        <f t="shared" ca="1" si="18"/>
        <v>3160.01</v>
      </c>
      <c r="Q39" s="1050">
        <f t="shared" ca="1" si="19"/>
        <v>3300</v>
      </c>
      <c r="R39" s="1051">
        <f t="shared" si="20"/>
        <v>0.6339999999999999</v>
      </c>
      <c r="S39" s="1050">
        <f t="shared" ca="1" si="8"/>
        <v>2000</v>
      </c>
      <c r="T39" s="1052">
        <f t="shared" ca="1" si="2"/>
        <v>0</v>
      </c>
      <c r="U39" s="1053">
        <f t="shared" ca="1" si="26"/>
        <v>0</v>
      </c>
      <c r="W39" s="1049">
        <f t="shared" ca="1" si="21"/>
        <v>3020.01</v>
      </c>
      <c r="X39" s="1050">
        <f t="shared" ca="1" si="22"/>
        <v>3160</v>
      </c>
      <c r="Y39" s="1051">
        <f t="shared" si="23"/>
        <v>0.6339999999999999</v>
      </c>
      <c r="Z39" s="1050">
        <f t="shared" ca="1" si="10"/>
        <v>1910</v>
      </c>
      <c r="AA39" s="1052">
        <f t="shared" ca="1" si="3"/>
        <v>0</v>
      </c>
      <c r="AB39" s="1053">
        <f t="shared" ca="1" si="27"/>
        <v>0</v>
      </c>
    </row>
    <row r="40" spans="2:28" x14ac:dyDescent="0.25">
      <c r="B40" s="1049">
        <f t="shared" ca="1" si="12"/>
        <v>3220.01</v>
      </c>
      <c r="C40" s="1050">
        <f t="shared" ca="1" si="13"/>
        <v>3360</v>
      </c>
      <c r="D40" s="1051">
        <f t="shared" si="14"/>
        <v>0.63099999999999989</v>
      </c>
      <c r="E40" s="1050">
        <f t="shared" ca="1" si="4"/>
        <v>2030</v>
      </c>
      <c r="F40" s="1052">
        <f t="shared" ca="1" si="0"/>
        <v>0</v>
      </c>
      <c r="G40" s="1053">
        <f t="shared" ca="1" si="24"/>
        <v>0</v>
      </c>
      <c r="I40" s="1049">
        <f t="shared" ca="1" si="15"/>
        <v>3220.01</v>
      </c>
      <c r="J40" s="1050">
        <f t="shared" ca="1" si="16"/>
        <v>3360</v>
      </c>
      <c r="K40" s="1051">
        <f t="shared" si="17"/>
        <v>0.63099999999999989</v>
      </c>
      <c r="L40" s="1050">
        <f t="shared" ca="1" si="6"/>
        <v>2030</v>
      </c>
      <c r="M40" s="1052">
        <f t="shared" ca="1" si="1"/>
        <v>0</v>
      </c>
      <c r="N40" s="1053">
        <f t="shared" ca="1" si="25"/>
        <v>0</v>
      </c>
      <c r="P40" s="1049">
        <f t="shared" ca="1" si="18"/>
        <v>3300.01</v>
      </c>
      <c r="Q40" s="1050">
        <f t="shared" ca="1" si="19"/>
        <v>3440</v>
      </c>
      <c r="R40" s="1051">
        <f t="shared" si="20"/>
        <v>0.63099999999999989</v>
      </c>
      <c r="S40" s="1050">
        <f t="shared" ca="1" si="8"/>
        <v>2080</v>
      </c>
      <c r="T40" s="1052">
        <f t="shared" ca="1" si="2"/>
        <v>0</v>
      </c>
      <c r="U40" s="1053">
        <f t="shared" ca="1" si="26"/>
        <v>0</v>
      </c>
      <c r="W40" s="1049">
        <f t="shared" ca="1" si="21"/>
        <v>3160.01</v>
      </c>
      <c r="X40" s="1050">
        <f t="shared" ca="1" si="22"/>
        <v>3300</v>
      </c>
      <c r="Y40" s="1051">
        <f t="shared" si="23"/>
        <v>0.63099999999999989</v>
      </c>
      <c r="Z40" s="1050">
        <f t="shared" ca="1" si="10"/>
        <v>1990</v>
      </c>
      <c r="AA40" s="1052">
        <f t="shared" ca="1" si="3"/>
        <v>0</v>
      </c>
      <c r="AB40" s="1053">
        <f t="shared" ca="1" si="27"/>
        <v>0</v>
      </c>
    </row>
    <row r="41" spans="2:28" x14ac:dyDescent="0.25">
      <c r="B41" s="1049">
        <f t="shared" ca="1" si="12"/>
        <v>3360.01</v>
      </c>
      <c r="C41" s="1050">
        <f t="shared" ca="1" si="13"/>
        <v>3500</v>
      </c>
      <c r="D41" s="1051">
        <f t="shared" si="14"/>
        <v>0.62799999999999989</v>
      </c>
      <c r="E41" s="1050">
        <f t="shared" ca="1" si="4"/>
        <v>2110</v>
      </c>
      <c r="F41" s="1052">
        <f t="shared" ca="1" si="0"/>
        <v>0</v>
      </c>
      <c r="G41" s="1053">
        <f t="shared" ca="1" si="24"/>
        <v>0</v>
      </c>
      <c r="I41" s="1049">
        <f t="shared" ca="1" si="15"/>
        <v>3360.01</v>
      </c>
      <c r="J41" s="1050">
        <f t="shared" ca="1" si="16"/>
        <v>3500</v>
      </c>
      <c r="K41" s="1051">
        <f t="shared" si="17"/>
        <v>0.62799999999999989</v>
      </c>
      <c r="L41" s="1050">
        <f t="shared" ca="1" si="6"/>
        <v>2110</v>
      </c>
      <c r="M41" s="1052">
        <f t="shared" ca="1" si="1"/>
        <v>0</v>
      </c>
      <c r="N41" s="1053">
        <f t="shared" ca="1" si="25"/>
        <v>0</v>
      </c>
      <c r="P41" s="1049">
        <f t="shared" ca="1" si="18"/>
        <v>3440.01</v>
      </c>
      <c r="Q41" s="1050">
        <f t="shared" ca="1" si="19"/>
        <v>3580</v>
      </c>
      <c r="R41" s="1051">
        <f t="shared" si="20"/>
        <v>0.62799999999999989</v>
      </c>
      <c r="S41" s="1050">
        <f t="shared" ca="1" si="8"/>
        <v>2160</v>
      </c>
      <c r="T41" s="1052">
        <f t="shared" ca="1" si="2"/>
        <v>0</v>
      </c>
      <c r="U41" s="1053">
        <f t="shared" ca="1" si="26"/>
        <v>0</v>
      </c>
      <c r="W41" s="1049">
        <f t="shared" ca="1" si="21"/>
        <v>3300.01</v>
      </c>
      <c r="X41" s="1050">
        <f t="shared" ca="1" si="22"/>
        <v>3440</v>
      </c>
      <c r="Y41" s="1051">
        <f t="shared" si="23"/>
        <v>0.62799999999999989</v>
      </c>
      <c r="Z41" s="1050">
        <f t="shared" ca="1" si="10"/>
        <v>2070</v>
      </c>
      <c r="AA41" s="1052">
        <f t="shared" ca="1" si="3"/>
        <v>0</v>
      </c>
      <c r="AB41" s="1053">
        <f t="shared" ca="1" si="27"/>
        <v>0</v>
      </c>
    </row>
    <row r="42" spans="2:28" x14ac:dyDescent="0.25">
      <c r="B42" s="1049">
        <f t="shared" ca="1" si="12"/>
        <v>3500.01</v>
      </c>
      <c r="C42" s="1050">
        <f t="shared" ca="1" si="13"/>
        <v>3640</v>
      </c>
      <c r="D42" s="1051">
        <f t="shared" si="14"/>
        <v>0.62499999999999989</v>
      </c>
      <c r="E42" s="1050">
        <f t="shared" ca="1" si="4"/>
        <v>2190</v>
      </c>
      <c r="F42" s="1052">
        <f t="shared" ca="1" si="0"/>
        <v>0</v>
      </c>
      <c r="G42" s="1053">
        <f t="shared" ca="1" si="24"/>
        <v>0</v>
      </c>
      <c r="I42" s="1049">
        <f t="shared" ca="1" si="15"/>
        <v>3500.01</v>
      </c>
      <c r="J42" s="1050">
        <f t="shared" ca="1" si="16"/>
        <v>3640</v>
      </c>
      <c r="K42" s="1051">
        <f t="shared" si="17"/>
        <v>0.62499999999999989</v>
      </c>
      <c r="L42" s="1050">
        <f t="shared" ca="1" si="6"/>
        <v>2190</v>
      </c>
      <c r="M42" s="1052">
        <f t="shared" ca="1" si="1"/>
        <v>0</v>
      </c>
      <c r="N42" s="1053">
        <f t="shared" ca="1" si="25"/>
        <v>0</v>
      </c>
      <c r="P42" s="1049">
        <f t="shared" ca="1" si="18"/>
        <v>3580.01</v>
      </c>
      <c r="Q42" s="1050">
        <f t="shared" ca="1" si="19"/>
        <v>3720</v>
      </c>
      <c r="R42" s="1051">
        <f t="shared" si="20"/>
        <v>0.62499999999999989</v>
      </c>
      <c r="S42" s="1050">
        <f t="shared" ca="1" si="8"/>
        <v>2240</v>
      </c>
      <c r="T42" s="1052">
        <f t="shared" ca="1" si="2"/>
        <v>0</v>
      </c>
      <c r="U42" s="1053">
        <f t="shared" ca="1" si="26"/>
        <v>0</v>
      </c>
      <c r="W42" s="1049">
        <f t="shared" ca="1" si="21"/>
        <v>3440.01</v>
      </c>
      <c r="X42" s="1050">
        <f t="shared" ca="1" si="22"/>
        <v>3580</v>
      </c>
      <c r="Y42" s="1051">
        <f t="shared" si="23"/>
        <v>0.62499999999999989</v>
      </c>
      <c r="Z42" s="1050">
        <f t="shared" ca="1" si="10"/>
        <v>2150</v>
      </c>
      <c r="AA42" s="1052">
        <f t="shared" ca="1" si="3"/>
        <v>0</v>
      </c>
      <c r="AB42" s="1053">
        <f t="shared" ca="1" si="27"/>
        <v>0</v>
      </c>
    </row>
    <row r="43" spans="2:28" x14ac:dyDescent="0.25">
      <c r="B43" s="1049">
        <f t="shared" ca="1" si="12"/>
        <v>3640.01</v>
      </c>
      <c r="C43" s="1050">
        <f t="shared" ca="1" si="13"/>
        <v>3780</v>
      </c>
      <c r="D43" s="1051">
        <f t="shared" si="14"/>
        <v>0.62199999999999989</v>
      </c>
      <c r="E43" s="1050">
        <f t="shared" ca="1" si="4"/>
        <v>2260</v>
      </c>
      <c r="F43" s="1052">
        <f t="shared" ca="1" si="0"/>
        <v>0</v>
      </c>
      <c r="G43" s="1053">
        <f t="shared" ca="1" si="24"/>
        <v>0</v>
      </c>
      <c r="I43" s="1049">
        <f t="shared" ca="1" si="15"/>
        <v>3640.01</v>
      </c>
      <c r="J43" s="1050">
        <f t="shared" ca="1" si="16"/>
        <v>3780</v>
      </c>
      <c r="K43" s="1051">
        <f t="shared" si="17"/>
        <v>0.62199999999999989</v>
      </c>
      <c r="L43" s="1050">
        <f t="shared" ca="1" si="6"/>
        <v>2260</v>
      </c>
      <c r="M43" s="1052">
        <f t="shared" ca="1" si="1"/>
        <v>0</v>
      </c>
      <c r="N43" s="1053">
        <f t="shared" ca="1" si="25"/>
        <v>0</v>
      </c>
      <c r="P43" s="1049">
        <f t="shared" ca="1" si="18"/>
        <v>3720.01</v>
      </c>
      <c r="Q43" s="1050">
        <f t="shared" ca="1" si="19"/>
        <v>3860</v>
      </c>
      <c r="R43" s="1051">
        <f t="shared" si="20"/>
        <v>0.62199999999999989</v>
      </c>
      <c r="S43" s="1050">
        <f t="shared" ca="1" si="8"/>
        <v>2310</v>
      </c>
      <c r="T43" s="1052">
        <f t="shared" ca="1" si="2"/>
        <v>0</v>
      </c>
      <c r="U43" s="1053">
        <f t="shared" ca="1" si="26"/>
        <v>0</v>
      </c>
      <c r="W43" s="1049">
        <f t="shared" ca="1" si="21"/>
        <v>3580.01</v>
      </c>
      <c r="X43" s="1050">
        <f t="shared" ca="1" si="22"/>
        <v>3720</v>
      </c>
      <c r="Y43" s="1051">
        <f t="shared" si="23"/>
        <v>0.62199999999999989</v>
      </c>
      <c r="Z43" s="1050">
        <f t="shared" ca="1" si="10"/>
        <v>2230</v>
      </c>
      <c r="AA43" s="1052">
        <f t="shared" ca="1" si="3"/>
        <v>0</v>
      </c>
      <c r="AB43" s="1053">
        <f t="shared" ca="1" si="27"/>
        <v>0</v>
      </c>
    </row>
    <row r="44" spans="2:28" x14ac:dyDescent="0.25">
      <c r="B44" s="1049">
        <f t="shared" ca="1" si="12"/>
        <v>3780.01</v>
      </c>
      <c r="C44" s="1050">
        <f t="shared" ca="1" si="13"/>
        <v>3920</v>
      </c>
      <c r="D44" s="1051">
        <f t="shared" si="14"/>
        <v>0.61899999999999988</v>
      </c>
      <c r="E44" s="1050">
        <f t="shared" ca="1" si="4"/>
        <v>2340</v>
      </c>
      <c r="F44" s="1052">
        <f t="shared" ca="1" si="0"/>
        <v>0</v>
      </c>
      <c r="G44" s="1053">
        <f t="shared" ca="1" si="24"/>
        <v>0</v>
      </c>
      <c r="I44" s="1049">
        <f t="shared" ca="1" si="15"/>
        <v>3780.01</v>
      </c>
      <c r="J44" s="1050">
        <f t="shared" ca="1" si="16"/>
        <v>3920</v>
      </c>
      <c r="K44" s="1051">
        <f t="shared" si="17"/>
        <v>0.61899999999999988</v>
      </c>
      <c r="L44" s="1050">
        <f t="shared" ca="1" si="6"/>
        <v>2340</v>
      </c>
      <c r="M44" s="1052">
        <f t="shared" ca="1" si="1"/>
        <v>0</v>
      </c>
      <c r="N44" s="1053">
        <f t="shared" ca="1" si="25"/>
        <v>0</v>
      </c>
      <c r="P44" s="1049">
        <f t="shared" ca="1" si="18"/>
        <v>3860.01</v>
      </c>
      <c r="Q44" s="1050">
        <f t="shared" ca="1" si="19"/>
        <v>4000</v>
      </c>
      <c r="R44" s="1051">
        <f t="shared" si="20"/>
        <v>0.61899999999999988</v>
      </c>
      <c r="S44" s="1050">
        <f t="shared" ca="1" si="8"/>
        <v>2390</v>
      </c>
      <c r="T44" s="1052">
        <f t="shared" ca="1" si="2"/>
        <v>0</v>
      </c>
      <c r="U44" s="1053">
        <f t="shared" ca="1" si="26"/>
        <v>0</v>
      </c>
      <c r="W44" s="1049">
        <f t="shared" ca="1" si="21"/>
        <v>3720.01</v>
      </c>
      <c r="X44" s="1050">
        <f t="shared" ca="1" si="22"/>
        <v>3860</v>
      </c>
      <c r="Y44" s="1051">
        <f t="shared" si="23"/>
        <v>0.61899999999999988</v>
      </c>
      <c r="Z44" s="1050">
        <f t="shared" ca="1" si="10"/>
        <v>2300</v>
      </c>
      <c r="AA44" s="1052">
        <f t="shared" ca="1" si="3"/>
        <v>0</v>
      </c>
      <c r="AB44" s="1053">
        <f t="shared" ca="1" si="27"/>
        <v>0</v>
      </c>
    </row>
    <row r="45" spans="2:28" x14ac:dyDescent="0.25">
      <c r="B45" s="1049">
        <f t="shared" ca="1" si="12"/>
        <v>3920.01</v>
      </c>
      <c r="C45" s="1050">
        <f t="shared" ca="1" si="13"/>
        <v>4060</v>
      </c>
      <c r="D45" s="1051">
        <f t="shared" si="14"/>
        <v>0.61599999999999988</v>
      </c>
      <c r="E45" s="1050">
        <f t="shared" ca="1" si="4"/>
        <v>2410</v>
      </c>
      <c r="F45" s="1052">
        <f t="shared" ca="1" si="0"/>
        <v>0</v>
      </c>
      <c r="G45" s="1053">
        <f t="shared" ca="1" si="24"/>
        <v>0</v>
      </c>
      <c r="I45" s="1049">
        <f t="shared" ca="1" si="15"/>
        <v>3920.01</v>
      </c>
      <c r="J45" s="1050">
        <f t="shared" ca="1" si="16"/>
        <v>4060</v>
      </c>
      <c r="K45" s="1051">
        <f t="shared" si="17"/>
        <v>0.61599999999999988</v>
      </c>
      <c r="L45" s="1050">
        <f t="shared" ca="1" si="6"/>
        <v>2410</v>
      </c>
      <c r="M45" s="1052">
        <f t="shared" ca="1" si="1"/>
        <v>0</v>
      </c>
      <c r="N45" s="1053">
        <f t="shared" ca="1" si="25"/>
        <v>0</v>
      </c>
      <c r="P45" s="1049">
        <f t="shared" ca="1" si="18"/>
        <v>4000.01</v>
      </c>
      <c r="Q45" s="1050">
        <f t="shared" ca="1" si="19"/>
        <v>4140</v>
      </c>
      <c r="R45" s="1051">
        <f t="shared" si="20"/>
        <v>0.61599999999999988</v>
      </c>
      <c r="S45" s="1050">
        <f t="shared" ca="1" si="8"/>
        <v>2460</v>
      </c>
      <c r="T45" s="1052">
        <f t="shared" ca="1" si="2"/>
        <v>0</v>
      </c>
      <c r="U45" s="1053">
        <f t="shared" ca="1" si="26"/>
        <v>0</v>
      </c>
      <c r="W45" s="1049">
        <f t="shared" ca="1" si="21"/>
        <v>3860.01</v>
      </c>
      <c r="X45" s="1050">
        <f t="shared" ca="1" si="22"/>
        <v>4000</v>
      </c>
      <c r="Y45" s="1051">
        <f t="shared" si="23"/>
        <v>0.61599999999999988</v>
      </c>
      <c r="Z45" s="1050">
        <f t="shared" ca="1" si="10"/>
        <v>2380</v>
      </c>
      <c r="AA45" s="1052">
        <f t="shared" ca="1" si="3"/>
        <v>0</v>
      </c>
      <c r="AB45" s="1053">
        <f t="shared" ca="1" si="27"/>
        <v>0</v>
      </c>
    </row>
    <row r="46" spans="2:28" x14ac:dyDescent="0.25">
      <c r="B46" s="1049">
        <f t="shared" ca="1" si="12"/>
        <v>4060.01</v>
      </c>
      <c r="C46" s="1050">
        <f t="shared" ca="1" si="13"/>
        <v>4200</v>
      </c>
      <c r="D46" s="1051">
        <f t="shared" si="14"/>
        <v>0.61299999999999988</v>
      </c>
      <c r="E46" s="1050">
        <f t="shared" ca="1" si="4"/>
        <v>2490</v>
      </c>
      <c r="F46" s="1052">
        <f t="shared" ca="1" si="0"/>
        <v>0</v>
      </c>
      <c r="G46" s="1053">
        <f t="shared" ca="1" si="24"/>
        <v>0</v>
      </c>
      <c r="I46" s="1049">
        <f t="shared" ca="1" si="15"/>
        <v>4060.01</v>
      </c>
      <c r="J46" s="1050">
        <f t="shared" ca="1" si="16"/>
        <v>4200</v>
      </c>
      <c r="K46" s="1051">
        <f t="shared" si="17"/>
        <v>0.61299999999999988</v>
      </c>
      <c r="L46" s="1050">
        <f t="shared" ca="1" si="6"/>
        <v>2490</v>
      </c>
      <c r="M46" s="1052">
        <f t="shared" ca="1" si="1"/>
        <v>0</v>
      </c>
      <c r="N46" s="1053">
        <f t="shared" ca="1" si="25"/>
        <v>0</v>
      </c>
      <c r="P46" s="1049">
        <f t="shared" ca="1" si="18"/>
        <v>4140.01</v>
      </c>
      <c r="Q46" s="1050">
        <f t="shared" ca="1" si="19"/>
        <v>4280</v>
      </c>
      <c r="R46" s="1051">
        <f t="shared" si="20"/>
        <v>0.61299999999999988</v>
      </c>
      <c r="S46" s="1050">
        <f t="shared" ca="1" si="8"/>
        <v>2540</v>
      </c>
      <c r="T46" s="1052">
        <f t="shared" ca="1" si="2"/>
        <v>0</v>
      </c>
      <c r="U46" s="1053">
        <f t="shared" ca="1" si="26"/>
        <v>0</v>
      </c>
      <c r="W46" s="1049">
        <f t="shared" ca="1" si="21"/>
        <v>4000.01</v>
      </c>
      <c r="X46" s="1050">
        <f t="shared" ca="1" si="22"/>
        <v>4140</v>
      </c>
      <c r="Y46" s="1051">
        <f t="shared" si="23"/>
        <v>0.61299999999999988</v>
      </c>
      <c r="Z46" s="1050">
        <f t="shared" ca="1" si="10"/>
        <v>2450</v>
      </c>
      <c r="AA46" s="1052">
        <f t="shared" ca="1" si="3"/>
        <v>0</v>
      </c>
      <c r="AB46" s="1053">
        <f t="shared" ca="1" si="27"/>
        <v>0</v>
      </c>
    </row>
    <row r="47" spans="2:28" x14ac:dyDescent="0.25">
      <c r="B47" s="1049">
        <f t="shared" ca="1" si="12"/>
        <v>4200.01</v>
      </c>
      <c r="C47" s="1050">
        <f t="shared" ca="1" si="13"/>
        <v>4340</v>
      </c>
      <c r="D47" s="1051">
        <f t="shared" si="14"/>
        <v>0.60999999999999988</v>
      </c>
      <c r="E47" s="1050">
        <f t="shared" ca="1" si="4"/>
        <v>2560</v>
      </c>
      <c r="F47" s="1052">
        <f t="shared" ca="1" si="0"/>
        <v>0</v>
      </c>
      <c r="G47" s="1053">
        <f t="shared" ca="1" si="24"/>
        <v>0</v>
      </c>
      <c r="I47" s="1049">
        <f t="shared" ca="1" si="15"/>
        <v>4200.01</v>
      </c>
      <c r="J47" s="1050">
        <f t="shared" ca="1" si="16"/>
        <v>4340</v>
      </c>
      <c r="K47" s="1051">
        <f t="shared" si="17"/>
        <v>0.60999999999999988</v>
      </c>
      <c r="L47" s="1050">
        <f t="shared" ca="1" si="6"/>
        <v>2560</v>
      </c>
      <c r="M47" s="1052">
        <f t="shared" ca="1" si="1"/>
        <v>0</v>
      </c>
      <c r="N47" s="1053">
        <f t="shared" ca="1" si="25"/>
        <v>0</v>
      </c>
      <c r="P47" s="1049">
        <f t="shared" ca="1" si="18"/>
        <v>4280.01</v>
      </c>
      <c r="Q47" s="1050">
        <f t="shared" ca="1" si="19"/>
        <v>4420</v>
      </c>
      <c r="R47" s="1051">
        <f t="shared" si="20"/>
        <v>0.60999999999999988</v>
      </c>
      <c r="S47" s="1050">
        <f t="shared" ca="1" si="8"/>
        <v>2610</v>
      </c>
      <c r="T47" s="1052">
        <f t="shared" ca="1" si="2"/>
        <v>0</v>
      </c>
      <c r="U47" s="1053">
        <f t="shared" ca="1" si="26"/>
        <v>0</v>
      </c>
      <c r="W47" s="1049">
        <f t="shared" ca="1" si="21"/>
        <v>4140.01</v>
      </c>
      <c r="X47" s="1050">
        <f t="shared" ca="1" si="22"/>
        <v>4280</v>
      </c>
      <c r="Y47" s="1051">
        <f t="shared" si="23"/>
        <v>0.60999999999999988</v>
      </c>
      <c r="Z47" s="1050">
        <f t="shared" ca="1" si="10"/>
        <v>2530</v>
      </c>
      <c r="AA47" s="1052">
        <f t="shared" ca="1" si="3"/>
        <v>0</v>
      </c>
      <c r="AB47" s="1053">
        <f t="shared" ca="1" si="27"/>
        <v>0</v>
      </c>
    </row>
    <row r="48" spans="2:28" x14ac:dyDescent="0.25">
      <c r="B48" s="1049">
        <f t="shared" ca="1" si="12"/>
        <v>4340.01</v>
      </c>
      <c r="C48" s="1050">
        <f t="shared" ca="1" si="13"/>
        <v>4480</v>
      </c>
      <c r="D48" s="1051">
        <f t="shared" si="14"/>
        <v>0.60699999999999987</v>
      </c>
      <c r="E48" s="1050">
        <f t="shared" ca="1" si="4"/>
        <v>2630</v>
      </c>
      <c r="F48" s="1052">
        <f t="shared" ca="1" si="0"/>
        <v>0</v>
      </c>
      <c r="G48" s="1053">
        <f t="shared" ca="1" si="24"/>
        <v>0</v>
      </c>
      <c r="I48" s="1049">
        <f t="shared" ca="1" si="15"/>
        <v>4340.01</v>
      </c>
      <c r="J48" s="1050">
        <f t="shared" ca="1" si="16"/>
        <v>4480</v>
      </c>
      <c r="K48" s="1051">
        <f t="shared" si="17"/>
        <v>0.60699999999999987</v>
      </c>
      <c r="L48" s="1050">
        <f t="shared" ca="1" si="6"/>
        <v>2630</v>
      </c>
      <c r="M48" s="1052">
        <f t="shared" ca="1" si="1"/>
        <v>0</v>
      </c>
      <c r="N48" s="1053">
        <f t="shared" ca="1" si="25"/>
        <v>0</v>
      </c>
      <c r="P48" s="1049">
        <f t="shared" ca="1" si="18"/>
        <v>4420.01</v>
      </c>
      <c r="Q48" s="1050">
        <f t="shared" ca="1" si="19"/>
        <v>4560</v>
      </c>
      <c r="R48" s="1051">
        <f t="shared" si="20"/>
        <v>0.60699999999999987</v>
      </c>
      <c r="S48" s="1050">
        <f t="shared" ca="1" si="8"/>
        <v>2680</v>
      </c>
      <c r="T48" s="1052">
        <f t="shared" ca="1" si="2"/>
        <v>0</v>
      </c>
      <c r="U48" s="1053">
        <f t="shared" ca="1" si="26"/>
        <v>0</v>
      </c>
      <c r="W48" s="1049">
        <f t="shared" ca="1" si="21"/>
        <v>4280.01</v>
      </c>
      <c r="X48" s="1050">
        <f t="shared" ca="1" si="22"/>
        <v>4420</v>
      </c>
      <c r="Y48" s="1051">
        <f t="shared" si="23"/>
        <v>0.60699999999999987</v>
      </c>
      <c r="Z48" s="1050">
        <f t="shared" ca="1" si="10"/>
        <v>2600</v>
      </c>
      <c r="AA48" s="1052">
        <f t="shared" ca="1" si="3"/>
        <v>0</v>
      </c>
      <c r="AB48" s="1053">
        <f t="shared" ca="1" si="27"/>
        <v>0</v>
      </c>
    </row>
    <row r="49" spans="2:28" x14ac:dyDescent="0.25">
      <c r="B49" s="1049">
        <f t="shared" ca="1" si="12"/>
        <v>4480.01</v>
      </c>
      <c r="C49" s="1050">
        <f t="shared" ca="1" si="13"/>
        <v>4620</v>
      </c>
      <c r="D49" s="1051">
        <f t="shared" si="14"/>
        <v>0.60399999999999987</v>
      </c>
      <c r="E49" s="1050">
        <f t="shared" ca="1" si="4"/>
        <v>2710</v>
      </c>
      <c r="F49" s="1052">
        <f t="shared" ref="F49:F80" ca="1" si="28">IF(AND($D$9&gt;=B49,$D$9&lt;=C49),1,0)</f>
        <v>0</v>
      </c>
      <c r="G49" s="1053">
        <f t="shared" ca="1" si="24"/>
        <v>0</v>
      </c>
      <c r="I49" s="1049">
        <f t="shared" ca="1" si="15"/>
        <v>4480.01</v>
      </c>
      <c r="J49" s="1050">
        <f t="shared" ca="1" si="16"/>
        <v>4620</v>
      </c>
      <c r="K49" s="1051">
        <f t="shared" si="17"/>
        <v>0.60399999999999987</v>
      </c>
      <c r="L49" s="1050">
        <f t="shared" ca="1" si="6"/>
        <v>2710</v>
      </c>
      <c r="M49" s="1052">
        <f t="shared" ref="M49:M80" ca="1" si="29">IF(AND($D$9&gt;=I49,$D$9&lt;=J49),1,0)</f>
        <v>0</v>
      </c>
      <c r="N49" s="1053">
        <f t="shared" ca="1" si="25"/>
        <v>0</v>
      </c>
      <c r="P49" s="1049">
        <f t="shared" ca="1" si="18"/>
        <v>4560.01</v>
      </c>
      <c r="Q49" s="1050">
        <f t="shared" ca="1" si="19"/>
        <v>4700</v>
      </c>
      <c r="R49" s="1051">
        <f t="shared" si="20"/>
        <v>0.60399999999999987</v>
      </c>
      <c r="S49" s="1050">
        <f t="shared" ca="1" si="8"/>
        <v>2750</v>
      </c>
      <c r="T49" s="1052">
        <f t="shared" ref="T49:T80" ca="1" si="30">IF(AND($D$9&gt;=P49,$D$9&lt;=Q49),1,0)</f>
        <v>0</v>
      </c>
      <c r="U49" s="1053">
        <f t="shared" ca="1" si="26"/>
        <v>0</v>
      </c>
      <c r="W49" s="1049">
        <f t="shared" ca="1" si="21"/>
        <v>4420.01</v>
      </c>
      <c r="X49" s="1050">
        <f t="shared" ca="1" si="22"/>
        <v>4560</v>
      </c>
      <c r="Y49" s="1051">
        <f t="shared" si="23"/>
        <v>0.60399999999999987</v>
      </c>
      <c r="Z49" s="1050">
        <f t="shared" ca="1" si="10"/>
        <v>2670</v>
      </c>
      <c r="AA49" s="1052">
        <f t="shared" ref="AA49:AA80" ca="1" si="31">IF(AND($D$9&gt;=W49,$D$9&lt;=X49),1,0)</f>
        <v>0</v>
      </c>
      <c r="AB49" s="1053">
        <f t="shared" ca="1" si="27"/>
        <v>0</v>
      </c>
    </row>
    <row r="50" spans="2:28" x14ac:dyDescent="0.25">
      <c r="B50" s="1049">
        <f t="shared" ca="1" si="12"/>
        <v>4620.01</v>
      </c>
      <c r="C50" s="1050">
        <f t="shared" ca="1" si="13"/>
        <v>4760</v>
      </c>
      <c r="D50" s="1051">
        <f t="shared" si="14"/>
        <v>0.60099999999999987</v>
      </c>
      <c r="E50" s="1050">
        <f t="shared" ca="1" si="4"/>
        <v>2780</v>
      </c>
      <c r="F50" s="1052">
        <f t="shared" ca="1" si="28"/>
        <v>0</v>
      </c>
      <c r="G50" s="1053">
        <f t="shared" ca="1" si="24"/>
        <v>0</v>
      </c>
      <c r="I50" s="1049">
        <f t="shared" ca="1" si="15"/>
        <v>4620.01</v>
      </c>
      <c r="J50" s="1050">
        <f t="shared" ca="1" si="16"/>
        <v>4760</v>
      </c>
      <c r="K50" s="1051">
        <f t="shared" si="17"/>
        <v>0.60099999999999987</v>
      </c>
      <c r="L50" s="1050">
        <f t="shared" ca="1" si="6"/>
        <v>2780</v>
      </c>
      <c r="M50" s="1052">
        <f t="shared" ca="1" si="29"/>
        <v>0</v>
      </c>
      <c r="N50" s="1053">
        <f t="shared" ca="1" si="25"/>
        <v>0</v>
      </c>
      <c r="P50" s="1049">
        <f t="shared" ca="1" si="18"/>
        <v>4700.01</v>
      </c>
      <c r="Q50" s="1050">
        <f t="shared" ca="1" si="19"/>
        <v>4840</v>
      </c>
      <c r="R50" s="1051">
        <f t="shared" si="20"/>
        <v>0.60099999999999987</v>
      </c>
      <c r="S50" s="1050">
        <f t="shared" ca="1" si="8"/>
        <v>2820</v>
      </c>
      <c r="T50" s="1052">
        <f t="shared" ca="1" si="30"/>
        <v>0</v>
      </c>
      <c r="U50" s="1053">
        <f t="shared" ca="1" si="26"/>
        <v>0</v>
      </c>
      <c r="W50" s="1049">
        <f t="shared" ca="1" si="21"/>
        <v>4560.01</v>
      </c>
      <c r="X50" s="1050">
        <f t="shared" ca="1" si="22"/>
        <v>4700</v>
      </c>
      <c r="Y50" s="1051">
        <f t="shared" si="23"/>
        <v>0.60099999999999987</v>
      </c>
      <c r="Z50" s="1050">
        <f t="shared" ca="1" si="10"/>
        <v>2740</v>
      </c>
      <c r="AA50" s="1052">
        <f t="shared" ca="1" si="31"/>
        <v>0</v>
      </c>
      <c r="AB50" s="1053">
        <f t="shared" ca="1" si="27"/>
        <v>0</v>
      </c>
    </row>
    <row r="51" spans="2:28" x14ac:dyDescent="0.25">
      <c r="B51" s="1049">
        <f t="shared" ca="1" si="12"/>
        <v>4760.01</v>
      </c>
      <c r="C51" s="1050">
        <f t="shared" ca="1" si="13"/>
        <v>4900</v>
      </c>
      <c r="D51" s="1051">
        <f t="shared" si="14"/>
        <v>0.59799999999999986</v>
      </c>
      <c r="E51" s="1050">
        <f t="shared" ca="1" si="4"/>
        <v>2850</v>
      </c>
      <c r="F51" s="1052">
        <f t="shared" ca="1" si="28"/>
        <v>0</v>
      </c>
      <c r="G51" s="1053">
        <f t="shared" ca="1" si="24"/>
        <v>0</v>
      </c>
      <c r="I51" s="1049">
        <f t="shared" ca="1" si="15"/>
        <v>4760.01</v>
      </c>
      <c r="J51" s="1050">
        <f t="shared" ca="1" si="16"/>
        <v>4900</v>
      </c>
      <c r="K51" s="1051">
        <f t="shared" si="17"/>
        <v>0.59799999999999986</v>
      </c>
      <c r="L51" s="1050">
        <f t="shared" ca="1" si="6"/>
        <v>2850</v>
      </c>
      <c r="M51" s="1052">
        <f t="shared" ca="1" si="29"/>
        <v>0</v>
      </c>
      <c r="N51" s="1053">
        <f t="shared" ca="1" si="25"/>
        <v>0</v>
      </c>
      <c r="P51" s="1049">
        <f t="shared" ca="1" si="18"/>
        <v>4840.01</v>
      </c>
      <c r="Q51" s="1050">
        <f t="shared" ca="1" si="19"/>
        <v>4980</v>
      </c>
      <c r="R51" s="1051">
        <f t="shared" si="20"/>
        <v>0.59799999999999986</v>
      </c>
      <c r="S51" s="1050">
        <f t="shared" ca="1" si="8"/>
        <v>2890</v>
      </c>
      <c r="T51" s="1052">
        <f t="shared" ca="1" si="30"/>
        <v>0</v>
      </c>
      <c r="U51" s="1053">
        <f t="shared" ca="1" si="26"/>
        <v>0</v>
      </c>
      <c r="W51" s="1049">
        <f t="shared" ca="1" si="21"/>
        <v>4700.01</v>
      </c>
      <c r="X51" s="1050">
        <f t="shared" ca="1" si="22"/>
        <v>4840</v>
      </c>
      <c r="Y51" s="1051">
        <f t="shared" si="23"/>
        <v>0.59799999999999986</v>
      </c>
      <c r="Z51" s="1050">
        <f t="shared" ca="1" si="10"/>
        <v>2810</v>
      </c>
      <c r="AA51" s="1052">
        <f t="shared" ca="1" si="31"/>
        <v>0</v>
      </c>
      <c r="AB51" s="1053">
        <f t="shared" ca="1" si="27"/>
        <v>0</v>
      </c>
    </row>
    <row r="52" spans="2:28" x14ac:dyDescent="0.25">
      <c r="B52" s="1049">
        <f t="shared" ca="1" si="12"/>
        <v>4900.01</v>
      </c>
      <c r="C52" s="1050">
        <f t="shared" ca="1" si="13"/>
        <v>5040</v>
      </c>
      <c r="D52" s="1051">
        <f t="shared" si="14"/>
        <v>0.59499999999999986</v>
      </c>
      <c r="E52" s="1050">
        <f t="shared" ca="1" si="4"/>
        <v>2920</v>
      </c>
      <c r="F52" s="1052">
        <f t="shared" ca="1" si="28"/>
        <v>0</v>
      </c>
      <c r="G52" s="1053">
        <f t="shared" ca="1" si="24"/>
        <v>0</v>
      </c>
      <c r="I52" s="1049">
        <f t="shared" ca="1" si="15"/>
        <v>4900.01</v>
      </c>
      <c r="J52" s="1050">
        <f t="shared" ca="1" si="16"/>
        <v>5040</v>
      </c>
      <c r="K52" s="1051">
        <f t="shared" si="17"/>
        <v>0.59499999999999986</v>
      </c>
      <c r="L52" s="1050">
        <f t="shared" ca="1" si="6"/>
        <v>2920</v>
      </c>
      <c r="M52" s="1052">
        <f t="shared" ca="1" si="29"/>
        <v>0</v>
      </c>
      <c r="N52" s="1053">
        <f t="shared" ca="1" si="25"/>
        <v>0</v>
      </c>
      <c r="P52" s="1049">
        <f t="shared" ca="1" si="18"/>
        <v>4980.01</v>
      </c>
      <c r="Q52" s="1050">
        <f t="shared" ca="1" si="19"/>
        <v>5120</v>
      </c>
      <c r="R52" s="1051">
        <f t="shared" si="20"/>
        <v>0.59499999999999986</v>
      </c>
      <c r="S52" s="1050">
        <f t="shared" ca="1" si="8"/>
        <v>2960</v>
      </c>
      <c r="T52" s="1052">
        <f t="shared" ca="1" si="30"/>
        <v>0</v>
      </c>
      <c r="U52" s="1053">
        <f t="shared" ca="1" si="26"/>
        <v>0</v>
      </c>
      <c r="W52" s="1049">
        <f t="shared" ca="1" si="21"/>
        <v>4840.01</v>
      </c>
      <c r="X52" s="1050">
        <f t="shared" ca="1" si="22"/>
        <v>4980</v>
      </c>
      <c r="Y52" s="1051">
        <f t="shared" si="23"/>
        <v>0.59499999999999986</v>
      </c>
      <c r="Z52" s="1050">
        <f t="shared" ca="1" si="10"/>
        <v>2880</v>
      </c>
      <c r="AA52" s="1052">
        <f t="shared" ca="1" si="31"/>
        <v>0</v>
      </c>
      <c r="AB52" s="1053">
        <f t="shared" ca="1" si="27"/>
        <v>0</v>
      </c>
    </row>
    <row r="53" spans="2:28" x14ac:dyDescent="0.25">
      <c r="B53" s="1049">
        <f t="shared" ca="1" si="12"/>
        <v>5040.01</v>
      </c>
      <c r="C53" s="1050">
        <f t="shared" ca="1" si="13"/>
        <v>5180</v>
      </c>
      <c r="D53" s="1051">
        <f t="shared" si="14"/>
        <v>0.59199999999999986</v>
      </c>
      <c r="E53" s="1050">
        <f t="shared" ca="1" si="4"/>
        <v>2980</v>
      </c>
      <c r="F53" s="1052">
        <f t="shared" ca="1" si="28"/>
        <v>0</v>
      </c>
      <c r="G53" s="1053">
        <f t="shared" ca="1" si="24"/>
        <v>0</v>
      </c>
      <c r="I53" s="1049">
        <f t="shared" ca="1" si="15"/>
        <v>5040.01</v>
      </c>
      <c r="J53" s="1050">
        <f t="shared" ca="1" si="16"/>
        <v>5180</v>
      </c>
      <c r="K53" s="1051">
        <f t="shared" si="17"/>
        <v>0.59199999999999986</v>
      </c>
      <c r="L53" s="1050">
        <f t="shared" ca="1" si="6"/>
        <v>2980</v>
      </c>
      <c r="M53" s="1052">
        <f t="shared" ca="1" si="29"/>
        <v>0</v>
      </c>
      <c r="N53" s="1053">
        <f t="shared" ca="1" si="25"/>
        <v>0</v>
      </c>
      <c r="P53" s="1049">
        <f t="shared" ca="1" si="18"/>
        <v>5120.01</v>
      </c>
      <c r="Q53" s="1050">
        <f t="shared" ca="1" si="19"/>
        <v>5260</v>
      </c>
      <c r="R53" s="1051">
        <f t="shared" si="20"/>
        <v>0.59199999999999986</v>
      </c>
      <c r="S53" s="1050">
        <f t="shared" ca="1" si="8"/>
        <v>3030</v>
      </c>
      <c r="T53" s="1052">
        <f t="shared" ca="1" si="30"/>
        <v>0</v>
      </c>
      <c r="U53" s="1053">
        <f t="shared" ca="1" si="26"/>
        <v>0</v>
      </c>
      <c r="W53" s="1049">
        <f t="shared" ca="1" si="21"/>
        <v>4980.01</v>
      </c>
      <c r="X53" s="1050">
        <f t="shared" ca="1" si="22"/>
        <v>5120</v>
      </c>
      <c r="Y53" s="1051">
        <f t="shared" si="23"/>
        <v>0.59199999999999986</v>
      </c>
      <c r="Z53" s="1050">
        <f t="shared" ca="1" si="10"/>
        <v>2950</v>
      </c>
      <c r="AA53" s="1052">
        <f t="shared" ca="1" si="31"/>
        <v>0</v>
      </c>
      <c r="AB53" s="1053">
        <f t="shared" ca="1" si="27"/>
        <v>0</v>
      </c>
    </row>
    <row r="54" spans="2:28" x14ac:dyDescent="0.25">
      <c r="B54" s="1049">
        <f t="shared" ca="1" si="12"/>
        <v>5180.01</v>
      </c>
      <c r="C54" s="1050">
        <f t="shared" ca="1" si="13"/>
        <v>5320</v>
      </c>
      <c r="D54" s="1051">
        <f t="shared" si="14"/>
        <v>0.58899999999999986</v>
      </c>
      <c r="E54" s="1050">
        <f t="shared" ca="1" si="4"/>
        <v>3050</v>
      </c>
      <c r="F54" s="1052">
        <f t="shared" ca="1" si="28"/>
        <v>0</v>
      </c>
      <c r="G54" s="1053">
        <f t="shared" ca="1" si="24"/>
        <v>0</v>
      </c>
      <c r="I54" s="1049">
        <f t="shared" ca="1" si="15"/>
        <v>5180.01</v>
      </c>
      <c r="J54" s="1050">
        <f t="shared" ca="1" si="16"/>
        <v>5320</v>
      </c>
      <c r="K54" s="1051">
        <f t="shared" si="17"/>
        <v>0.58899999999999986</v>
      </c>
      <c r="L54" s="1050">
        <f t="shared" ca="1" si="6"/>
        <v>3050</v>
      </c>
      <c r="M54" s="1052">
        <f t="shared" ca="1" si="29"/>
        <v>0</v>
      </c>
      <c r="N54" s="1053">
        <f t="shared" ca="1" si="25"/>
        <v>0</v>
      </c>
      <c r="P54" s="1049">
        <f t="shared" ca="1" si="18"/>
        <v>5260.01</v>
      </c>
      <c r="Q54" s="1050">
        <f t="shared" ca="1" si="19"/>
        <v>5400</v>
      </c>
      <c r="R54" s="1051">
        <f t="shared" si="20"/>
        <v>0.58899999999999986</v>
      </c>
      <c r="S54" s="1050">
        <f t="shared" ca="1" si="8"/>
        <v>3100</v>
      </c>
      <c r="T54" s="1052">
        <f t="shared" ca="1" si="30"/>
        <v>0</v>
      </c>
      <c r="U54" s="1053">
        <f t="shared" ca="1" si="26"/>
        <v>0</v>
      </c>
      <c r="W54" s="1049">
        <f t="shared" ca="1" si="21"/>
        <v>5120.01</v>
      </c>
      <c r="X54" s="1050">
        <f t="shared" ca="1" si="22"/>
        <v>5260</v>
      </c>
      <c r="Y54" s="1051">
        <f t="shared" si="23"/>
        <v>0.58899999999999986</v>
      </c>
      <c r="Z54" s="1050">
        <f t="shared" ca="1" si="10"/>
        <v>3020</v>
      </c>
      <c r="AA54" s="1052">
        <f t="shared" ca="1" si="31"/>
        <v>0</v>
      </c>
      <c r="AB54" s="1053">
        <f t="shared" ca="1" si="27"/>
        <v>0</v>
      </c>
    </row>
    <row r="55" spans="2:28" x14ac:dyDescent="0.25">
      <c r="B55" s="1049">
        <f t="shared" ca="1" si="12"/>
        <v>5320.01</v>
      </c>
      <c r="C55" s="1050">
        <f t="shared" ca="1" si="13"/>
        <v>5460</v>
      </c>
      <c r="D55" s="1051">
        <f t="shared" si="14"/>
        <v>0.58599999999999985</v>
      </c>
      <c r="E55" s="1050">
        <f t="shared" ca="1" si="4"/>
        <v>3120</v>
      </c>
      <c r="F55" s="1052">
        <f t="shared" ca="1" si="28"/>
        <v>0</v>
      </c>
      <c r="G55" s="1053">
        <f t="shared" ca="1" si="24"/>
        <v>0</v>
      </c>
      <c r="I55" s="1049">
        <f t="shared" ca="1" si="15"/>
        <v>5320.01</v>
      </c>
      <c r="J55" s="1050">
        <f t="shared" ca="1" si="16"/>
        <v>5460</v>
      </c>
      <c r="K55" s="1051">
        <f t="shared" si="17"/>
        <v>0.58599999999999985</v>
      </c>
      <c r="L55" s="1050">
        <f t="shared" ca="1" si="6"/>
        <v>3120</v>
      </c>
      <c r="M55" s="1052">
        <f t="shared" ca="1" si="29"/>
        <v>0</v>
      </c>
      <c r="N55" s="1053">
        <f t="shared" ca="1" si="25"/>
        <v>0</v>
      </c>
      <c r="P55" s="1049">
        <f t="shared" ca="1" si="18"/>
        <v>5400.01</v>
      </c>
      <c r="Q55" s="1050">
        <f t="shared" ca="1" si="19"/>
        <v>5540</v>
      </c>
      <c r="R55" s="1051">
        <f t="shared" si="20"/>
        <v>0.58599999999999985</v>
      </c>
      <c r="S55" s="1050">
        <f t="shared" ca="1" si="8"/>
        <v>3160</v>
      </c>
      <c r="T55" s="1052">
        <f t="shared" ca="1" si="30"/>
        <v>0</v>
      </c>
      <c r="U55" s="1053">
        <f t="shared" ca="1" si="26"/>
        <v>0</v>
      </c>
      <c r="W55" s="1049">
        <f t="shared" ca="1" si="21"/>
        <v>5260.01</v>
      </c>
      <c r="X55" s="1050">
        <f t="shared" ca="1" si="22"/>
        <v>5400</v>
      </c>
      <c r="Y55" s="1051">
        <f t="shared" si="23"/>
        <v>0.58599999999999985</v>
      </c>
      <c r="Z55" s="1050">
        <f t="shared" ca="1" si="10"/>
        <v>3080</v>
      </c>
      <c r="AA55" s="1052">
        <f t="shared" ca="1" si="31"/>
        <v>0</v>
      </c>
      <c r="AB55" s="1053">
        <f t="shared" ca="1" si="27"/>
        <v>0</v>
      </c>
    </row>
    <row r="56" spans="2:28" x14ac:dyDescent="0.25">
      <c r="B56" s="1049">
        <f t="shared" ca="1" si="12"/>
        <v>5460.01</v>
      </c>
      <c r="C56" s="1050">
        <f t="shared" ca="1" si="13"/>
        <v>5600</v>
      </c>
      <c r="D56" s="1051">
        <f t="shared" si="14"/>
        <v>0.58299999999999985</v>
      </c>
      <c r="E56" s="1050">
        <f t="shared" ca="1" si="4"/>
        <v>3180</v>
      </c>
      <c r="F56" s="1052">
        <f t="shared" ca="1" si="28"/>
        <v>0</v>
      </c>
      <c r="G56" s="1053">
        <f t="shared" ca="1" si="24"/>
        <v>0</v>
      </c>
      <c r="I56" s="1049">
        <f t="shared" ca="1" si="15"/>
        <v>5460.01</v>
      </c>
      <c r="J56" s="1050">
        <f t="shared" ca="1" si="16"/>
        <v>5600</v>
      </c>
      <c r="K56" s="1051">
        <f t="shared" si="17"/>
        <v>0.58299999999999985</v>
      </c>
      <c r="L56" s="1050">
        <f t="shared" ca="1" si="6"/>
        <v>3180</v>
      </c>
      <c r="M56" s="1052">
        <f t="shared" ca="1" si="29"/>
        <v>0</v>
      </c>
      <c r="N56" s="1053">
        <f t="shared" ca="1" si="25"/>
        <v>0</v>
      </c>
      <c r="P56" s="1049">
        <f t="shared" ca="1" si="18"/>
        <v>5540.01</v>
      </c>
      <c r="Q56" s="1050">
        <f t="shared" ca="1" si="19"/>
        <v>5680</v>
      </c>
      <c r="R56" s="1051">
        <f t="shared" si="20"/>
        <v>0.58299999999999985</v>
      </c>
      <c r="S56" s="1050">
        <f t="shared" ca="1" si="8"/>
        <v>3230</v>
      </c>
      <c r="T56" s="1052">
        <f t="shared" ca="1" si="30"/>
        <v>0</v>
      </c>
      <c r="U56" s="1053">
        <f t="shared" ca="1" si="26"/>
        <v>0</v>
      </c>
      <c r="W56" s="1049">
        <f t="shared" ca="1" si="21"/>
        <v>5400.01</v>
      </c>
      <c r="X56" s="1050">
        <f t="shared" ca="1" si="22"/>
        <v>5540</v>
      </c>
      <c r="Y56" s="1051">
        <f t="shared" si="23"/>
        <v>0.58299999999999985</v>
      </c>
      <c r="Z56" s="1050">
        <f t="shared" ca="1" si="10"/>
        <v>3150</v>
      </c>
      <c r="AA56" s="1052">
        <f t="shared" ca="1" si="31"/>
        <v>0</v>
      </c>
      <c r="AB56" s="1053">
        <f t="shared" ca="1" si="27"/>
        <v>0</v>
      </c>
    </row>
    <row r="57" spans="2:28" x14ac:dyDescent="0.25">
      <c r="B57" s="1049">
        <f t="shared" ca="1" si="12"/>
        <v>5600.01</v>
      </c>
      <c r="C57" s="1050">
        <f t="shared" ca="1" si="13"/>
        <v>5740</v>
      </c>
      <c r="D57" s="1051">
        <f t="shared" si="14"/>
        <v>0.57999999999999985</v>
      </c>
      <c r="E57" s="1050">
        <f t="shared" ca="1" si="4"/>
        <v>3250</v>
      </c>
      <c r="F57" s="1052">
        <f t="shared" ca="1" si="28"/>
        <v>0</v>
      </c>
      <c r="G57" s="1053">
        <f t="shared" ca="1" si="24"/>
        <v>0</v>
      </c>
      <c r="I57" s="1049">
        <f t="shared" ca="1" si="15"/>
        <v>5600.01</v>
      </c>
      <c r="J57" s="1050">
        <f t="shared" ca="1" si="16"/>
        <v>5740</v>
      </c>
      <c r="K57" s="1051">
        <f t="shared" si="17"/>
        <v>0.57999999999999985</v>
      </c>
      <c r="L57" s="1050">
        <f t="shared" ca="1" si="6"/>
        <v>3250</v>
      </c>
      <c r="M57" s="1052">
        <f t="shared" ca="1" si="29"/>
        <v>0</v>
      </c>
      <c r="N57" s="1053">
        <f t="shared" ca="1" si="25"/>
        <v>0</v>
      </c>
      <c r="P57" s="1049">
        <f t="shared" ca="1" si="18"/>
        <v>5680.01</v>
      </c>
      <c r="Q57" s="1050">
        <f t="shared" ca="1" si="19"/>
        <v>5820</v>
      </c>
      <c r="R57" s="1051">
        <f t="shared" si="20"/>
        <v>0.57999999999999985</v>
      </c>
      <c r="S57" s="1050">
        <f t="shared" ca="1" si="8"/>
        <v>3290</v>
      </c>
      <c r="T57" s="1052">
        <f t="shared" ca="1" si="30"/>
        <v>0</v>
      </c>
      <c r="U57" s="1053">
        <f t="shared" ca="1" si="26"/>
        <v>0</v>
      </c>
      <c r="W57" s="1049">
        <f t="shared" ca="1" si="21"/>
        <v>5540.01</v>
      </c>
      <c r="X57" s="1050">
        <f t="shared" ca="1" si="22"/>
        <v>5680</v>
      </c>
      <c r="Y57" s="1051">
        <f t="shared" si="23"/>
        <v>0.57999999999999985</v>
      </c>
      <c r="Z57" s="1050">
        <f t="shared" ca="1" si="10"/>
        <v>3210</v>
      </c>
      <c r="AA57" s="1052">
        <f t="shared" ca="1" si="31"/>
        <v>0</v>
      </c>
      <c r="AB57" s="1053">
        <f t="shared" ca="1" si="27"/>
        <v>0</v>
      </c>
    </row>
    <row r="58" spans="2:28" x14ac:dyDescent="0.25">
      <c r="B58" s="1049">
        <f t="shared" ca="1" si="12"/>
        <v>5740.01</v>
      </c>
      <c r="C58" s="1050">
        <f t="shared" ca="1" si="13"/>
        <v>5880</v>
      </c>
      <c r="D58" s="1051">
        <f t="shared" si="14"/>
        <v>0.57699999999999985</v>
      </c>
      <c r="E58" s="1050">
        <f t="shared" ca="1" si="4"/>
        <v>3310</v>
      </c>
      <c r="F58" s="1052">
        <f t="shared" ca="1" si="28"/>
        <v>0</v>
      </c>
      <c r="G58" s="1053">
        <f t="shared" ca="1" si="24"/>
        <v>0</v>
      </c>
      <c r="I58" s="1049">
        <f t="shared" ca="1" si="15"/>
        <v>5740.01</v>
      </c>
      <c r="J58" s="1050">
        <f t="shared" ca="1" si="16"/>
        <v>5880</v>
      </c>
      <c r="K58" s="1051">
        <f t="shared" si="17"/>
        <v>0.57699999999999985</v>
      </c>
      <c r="L58" s="1050">
        <f t="shared" ca="1" si="6"/>
        <v>3310</v>
      </c>
      <c r="M58" s="1052">
        <f t="shared" ca="1" si="29"/>
        <v>0</v>
      </c>
      <c r="N58" s="1053">
        <f t="shared" ca="1" si="25"/>
        <v>0</v>
      </c>
      <c r="P58" s="1049">
        <f t="shared" ca="1" si="18"/>
        <v>5820.01</v>
      </c>
      <c r="Q58" s="1050">
        <f t="shared" ca="1" si="19"/>
        <v>5960</v>
      </c>
      <c r="R58" s="1051">
        <f t="shared" si="20"/>
        <v>0.57699999999999985</v>
      </c>
      <c r="S58" s="1050">
        <f t="shared" ca="1" si="8"/>
        <v>3360</v>
      </c>
      <c r="T58" s="1052">
        <f t="shared" ca="1" si="30"/>
        <v>0</v>
      </c>
      <c r="U58" s="1053">
        <f t="shared" ca="1" si="26"/>
        <v>0</v>
      </c>
      <c r="W58" s="1049">
        <f t="shared" ca="1" si="21"/>
        <v>5680.01</v>
      </c>
      <c r="X58" s="1050">
        <f t="shared" ca="1" si="22"/>
        <v>5820</v>
      </c>
      <c r="Y58" s="1051">
        <f t="shared" si="23"/>
        <v>0.57699999999999985</v>
      </c>
      <c r="Z58" s="1050">
        <f t="shared" ca="1" si="10"/>
        <v>3280</v>
      </c>
      <c r="AA58" s="1052">
        <f t="shared" ca="1" si="31"/>
        <v>0</v>
      </c>
      <c r="AB58" s="1053">
        <f t="shared" ca="1" si="27"/>
        <v>0</v>
      </c>
    </row>
    <row r="59" spans="2:28" x14ac:dyDescent="0.25">
      <c r="B59" s="1049">
        <f t="shared" ca="1" si="12"/>
        <v>5880.01</v>
      </c>
      <c r="C59" s="1050">
        <f t="shared" ca="1" si="13"/>
        <v>6020</v>
      </c>
      <c r="D59" s="1051">
        <f t="shared" si="14"/>
        <v>0.57399999999999984</v>
      </c>
      <c r="E59" s="1050">
        <f t="shared" ca="1" si="4"/>
        <v>3380</v>
      </c>
      <c r="F59" s="1052">
        <f t="shared" ca="1" si="28"/>
        <v>0</v>
      </c>
      <c r="G59" s="1053">
        <f t="shared" ca="1" si="24"/>
        <v>0</v>
      </c>
      <c r="I59" s="1049">
        <f t="shared" ca="1" si="15"/>
        <v>5880.01</v>
      </c>
      <c r="J59" s="1050">
        <f t="shared" ca="1" si="16"/>
        <v>6020</v>
      </c>
      <c r="K59" s="1051">
        <f t="shared" si="17"/>
        <v>0.57399999999999984</v>
      </c>
      <c r="L59" s="1050">
        <f t="shared" ca="1" si="6"/>
        <v>3380</v>
      </c>
      <c r="M59" s="1052">
        <f t="shared" ca="1" si="29"/>
        <v>0</v>
      </c>
      <c r="N59" s="1053">
        <f t="shared" ca="1" si="25"/>
        <v>0</v>
      </c>
      <c r="P59" s="1049">
        <f t="shared" ca="1" si="18"/>
        <v>5960.01</v>
      </c>
      <c r="Q59" s="1050">
        <f t="shared" ca="1" si="19"/>
        <v>6100</v>
      </c>
      <c r="R59" s="1051">
        <f t="shared" si="20"/>
        <v>0.57399999999999984</v>
      </c>
      <c r="S59" s="1050">
        <f t="shared" ca="1" si="8"/>
        <v>3420</v>
      </c>
      <c r="T59" s="1052">
        <f t="shared" ca="1" si="30"/>
        <v>0</v>
      </c>
      <c r="U59" s="1053">
        <f t="shared" ca="1" si="26"/>
        <v>0</v>
      </c>
      <c r="W59" s="1049">
        <f t="shared" ca="1" si="21"/>
        <v>5820.01</v>
      </c>
      <c r="X59" s="1050">
        <f t="shared" ca="1" si="22"/>
        <v>5960</v>
      </c>
      <c r="Y59" s="1051">
        <f t="shared" si="23"/>
        <v>0.57399999999999984</v>
      </c>
      <c r="Z59" s="1050">
        <f t="shared" ca="1" si="10"/>
        <v>3340</v>
      </c>
      <c r="AA59" s="1052">
        <f t="shared" ca="1" si="31"/>
        <v>0</v>
      </c>
      <c r="AB59" s="1053">
        <f t="shared" ca="1" si="27"/>
        <v>0</v>
      </c>
    </row>
    <row r="60" spans="2:28" x14ac:dyDescent="0.25">
      <c r="B60" s="1049">
        <f t="shared" ca="1" si="12"/>
        <v>6020.01</v>
      </c>
      <c r="C60" s="1050">
        <f t="shared" ca="1" si="13"/>
        <v>6160</v>
      </c>
      <c r="D60" s="1051">
        <f t="shared" si="14"/>
        <v>0.57099999999999984</v>
      </c>
      <c r="E60" s="1050">
        <f t="shared" ca="1" si="4"/>
        <v>3440</v>
      </c>
      <c r="F60" s="1052">
        <f t="shared" ca="1" si="28"/>
        <v>0</v>
      </c>
      <c r="G60" s="1053">
        <f t="shared" ca="1" si="24"/>
        <v>0</v>
      </c>
      <c r="I60" s="1049">
        <f t="shared" ca="1" si="15"/>
        <v>6020.01</v>
      </c>
      <c r="J60" s="1050">
        <f t="shared" ca="1" si="16"/>
        <v>6160</v>
      </c>
      <c r="K60" s="1051">
        <f t="shared" si="17"/>
        <v>0.57099999999999984</v>
      </c>
      <c r="L60" s="1050">
        <f t="shared" ca="1" si="6"/>
        <v>3440</v>
      </c>
      <c r="M60" s="1052">
        <f t="shared" ca="1" si="29"/>
        <v>0</v>
      </c>
      <c r="N60" s="1053">
        <f t="shared" ca="1" si="25"/>
        <v>0</v>
      </c>
      <c r="P60" s="1049">
        <f t="shared" ca="1" si="18"/>
        <v>6100.01</v>
      </c>
      <c r="Q60" s="1050">
        <f t="shared" ca="1" si="19"/>
        <v>6240</v>
      </c>
      <c r="R60" s="1051">
        <f t="shared" si="20"/>
        <v>0.57099999999999984</v>
      </c>
      <c r="S60" s="1050">
        <f t="shared" ca="1" si="8"/>
        <v>3480</v>
      </c>
      <c r="T60" s="1052">
        <f t="shared" ca="1" si="30"/>
        <v>0</v>
      </c>
      <c r="U60" s="1053">
        <f t="shared" ca="1" si="26"/>
        <v>0</v>
      </c>
      <c r="W60" s="1049">
        <f t="shared" ca="1" si="21"/>
        <v>5960.01</v>
      </c>
      <c r="X60" s="1050">
        <f t="shared" ca="1" si="22"/>
        <v>6100</v>
      </c>
      <c r="Y60" s="1051">
        <f t="shared" si="23"/>
        <v>0.57099999999999984</v>
      </c>
      <c r="Z60" s="1050">
        <f t="shared" ca="1" si="10"/>
        <v>3400</v>
      </c>
      <c r="AA60" s="1052">
        <f t="shared" ca="1" si="31"/>
        <v>0</v>
      </c>
      <c r="AB60" s="1053">
        <f t="shared" ca="1" si="27"/>
        <v>0</v>
      </c>
    </row>
    <row r="61" spans="2:28" x14ac:dyDescent="0.25">
      <c r="B61" s="1049">
        <f t="shared" ca="1" si="12"/>
        <v>6160.01</v>
      </c>
      <c r="C61" s="1050">
        <f t="shared" ca="1" si="13"/>
        <v>6300</v>
      </c>
      <c r="D61" s="1051">
        <f t="shared" si="14"/>
        <v>0.56799999999999984</v>
      </c>
      <c r="E61" s="1050">
        <f t="shared" ca="1" si="4"/>
        <v>3500</v>
      </c>
      <c r="F61" s="1052">
        <f t="shared" ca="1" si="28"/>
        <v>0</v>
      </c>
      <c r="G61" s="1053">
        <f t="shared" ca="1" si="24"/>
        <v>0</v>
      </c>
      <c r="I61" s="1049">
        <f t="shared" ca="1" si="15"/>
        <v>6160.01</v>
      </c>
      <c r="J61" s="1050">
        <f t="shared" ca="1" si="16"/>
        <v>6300</v>
      </c>
      <c r="K61" s="1051">
        <f t="shared" si="17"/>
        <v>0.56799999999999984</v>
      </c>
      <c r="L61" s="1050">
        <f t="shared" ca="1" si="6"/>
        <v>3500</v>
      </c>
      <c r="M61" s="1052">
        <f t="shared" ca="1" si="29"/>
        <v>0</v>
      </c>
      <c r="N61" s="1053">
        <f t="shared" ca="1" si="25"/>
        <v>0</v>
      </c>
      <c r="P61" s="1049">
        <f t="shared" ca="1" si="18"/>
        <v>6240.01</v>
      </c>
      <c r="Q61" s="1050">
        <f t="shared" ca="1" si="19"/>
        <v>6380</v>
      </c>
      <c r="R61" s="1051">
        <f t="shared" si="20"/>
        <v>0.56799999999999984</v>
      </c>
      <c r="S61" s="1050">
        <f t="shared" ca="1" si="8"/>
        <v>3540</v>
      </c>
      <c r="T61" s="1052">
        <f t="shared" ca="1" si="30"/>
        <v>0</v>
      </c>
      <c r="U61" s="1053">
        <f t="shared" ca="1" si="26"/>
        <v>0</v>
      </c>
      <c r="W61" s="1049">
        <f t="shared" ca="1" si="21"/>
        <v>6100.01</v>
      </c>
      <c r="X61" s="1050">
        <f t="shared" ca="1" si="22"/>
        <v>6240</v>
      </c>
      <c r="Y61" s="1051">
        <f t="shared" si="23"/>
        <v>0.56799999999999984</v>
      </c>
      <c r="Z61" s="1050">
        <f t="shared" ca="1" si="10"/>
        <v>3460</v>
      </c>
      <c r="AA61" s="1052">
        <f t="shared" ca="1" si="31"/>
        <v>0</v>
      </c>
      <c r="AB61" s="1053">
        <f t="shared" ca="1" si="27"/>
        <v>0</v>
      </c>
    </row>
    <row r="62" spans="2:28" x14ac:dyDescent="0.25">
      <c r="B62" s="1049">
        <f t="shared" ca="1" si="12"/>
        <v>6300.01</v>
      </c>
      <c r="C62" s="1050">
        <f t="shared" ca="1" si="13"/>
        <v>6440</v>
      </c>
      <c r="D62" s="1051">
        <f t="shared" si="14"/>
        <v>0.56499999999999984</v>
      </c>
      <c r="E62" s="1050">
        <f t="shared" ca="1" si="4"/>
        <v>3560</v>
      </c>
      <c r="F62" s="1052">
        <f t="shared" ca="1" si="28"/>
        <v>0</v>
      </c>
      <c r="G62" s="1053">
        <f t="shared" ca="1" si="24"/>
        <v>0</v>
      </c>
      <c r="I62" s="1049">
        <f t="shared" ca="1" si="15"/>
        <v>6300.01</v>
      </c>
      <c r="J62" s="1050">
        <f t="shared" ca="1" si="16"/>
        <v>6440</v>
      </c>
      <c r="K62" s="1051">
        <f t="shared" si="17"/>
        <v>0.56499999999999984</v>
      </c>
      <c r="L62" s="1050">
        <f t="shared" ca="1" si="6"/>
        <v>3560</v>
      </c>
      <c r="M62" s="1052">
        <f t="shared" ca="1" si="29"/>
        <v>0</v>
      </c>
      <c r="N62" s="1053">
        <f t="shared" ca="1" si="25"/>
        <v>0</v>
      </c>
      <c r="P62" s="1049">
        <f t="shared" ca="1" si="18"/>
        <v>6380.01</v>
      </c>
      <c r="Q62" s="1050">
        <f t="shared" ca="1" si="19"/>
        <v>6520</v>
      </c>
      <c r="R62" s="1051">
        <f t="shared" si="20"/>
        <v>0.56499999999999984</v>
      </c>
      <c r="S62" s="1050">
        <f t="shared" ca="1" si="8"/>
        <v>3600</v>
      </c>
      <c r="T62" s="1052">
        <f t="shared" ca="1" si="30"/>
        <v>0</v>
      </c>
      <c r="U62" s="1053">
        <f t="shared" ca="1" si="26"/>
        <v>0</v>
      </c>
      <c r="W62" s="1049">
        <f t="shared" ca="1" si="21"/>
        <v>6240.01</v>
      </c>
      <c r="X62" s="1050">
        <f t="shared" ca="1" si="22"/>
        <v>6380</v>
      </c>
      <c r="Y62" s="1051">
        <f t="shared" si="23"/>
        <v>0.56499999999999984</v>
      </c>
      <c r="Z62" s="1050">
        <f t="shared" ca="1" si="10"/>
        <v>3530</v>
      </c>
      <c r="AA62" s="1052">
        <f t="shared" ca="1" si="31"/>
        <v>0</v>
      </c>
      <c r="AB62" s="1053">
        <f t="shared" ca="1" si="27"/>
        <v>0</v>
      </c>
    </row>
    <row r="63" spans="2:28" x14ac:dyDescent="0.25">
      <c r="B63" s="1049">
        <f t="shared" ca="1" si="12"/>
        <v>6440.01</v>
      </c>
      <c r="C63" s="1050">
        <f t="shared" ca="1" si="13"/>
        <v>6580</v>
      </c>
      <c r="D63" s="1051">
        <f t="shared" si="14"/>
        <v>0.56199999999999983</v>
      </c>
      <c r="E63" s="1050">
        <f t="shared" ca="1" si="4"/>
        <v>3620</v>
      </c>
      <c r="F63" s="1052">
        <f t="shared" ca="1" si="28"/>
        <v>0</v>
      </c>
      <c r="G63" s="1053">
        <f t="shared" ca="1" si="24"/>
        <v>0</v>
      </c>
      <c r="I63" s="1049">
        <f t="shared" ca="1" si="15"/>
        <v>6440.01</v>
      </c>
      <c r="J63" s="1050">
        <f t="shared" ca="1" si="16"/>
        <v>6580</v>
      </c>
      <c r="K63" s="1051">
        <f t="shared" si="17"/>
        <v>0.56199999999999983</v>
      </c>
      <c r="L63" s="1050">
        <f t="shared" ca="1" si="6"/>
        <v>3620</v>
      </c>
      <c r="M63" s="1052">
        <f t="shared" ca="1" si="29"/>
        <v>0</v>
      </c>
      <c r="N63" s="1053">
        <f t="shared" ca="1" si="25"/>
        <v>0</v>
      </c>
      <c r="P63" s="1049">
        <f t="shared" ca="1" si="18"/>
        <v>6520.01</v>
      </c>
      <c r="Q63" s="1050">
        <f t="shared" ca="1" si="19"/>
        <v>6660</v>
      </c>
      <c r="R63" s="1051">
        <f t="shared" si="20"/>
        <v>0.56199999999999983</v>
      </c>
      <c r="S63" s="1050">
        <f t="shared" ca="1" si="8"/>
        <v>3660</v>
      </c>
      <c r="T63" s="1052">
        <f t="shared" ca="1" si="30"/>
        <v>0</v>
      </c>
      <c r="U63" s="1053">
        <f t="shared" ca="1" si="26"/>
        <v>0</v>
      </c>
      <c r="W63" s="1049">
        <f t="shared" ca="1" si="21"/>
        <v>6380.01</v>
      </c>
      <c r="X63" s="1050">
        <f t="shared" ca="1" si="22"/>
        <v>6520</v>
      </c>
      <c r="Y63" s="1051">
        <f t="shared" si="23"/>
        <v>0.56199999999999983</v>
      </c>
      <c r="Z63" s="1050">
        <f t="shared" ca="1" si="10"/>
        <v>3590</v>
      </c>
      <c r="AA63" s="1052">
        <f t="shared" ca="1" si="31"/>
        <v>0</v>
      </c>
      <c r="AB63" s="1053">
        <f t="shared" ca="1" si="27"/>
        <v>0</v>
      </c>
    </row>
    <row r="64" spans="2:28" x14ac:dyDescent="0.25">
      <c r="B64" s="1049">
        <f t="shared" ca="1" si="12"/>
        <v>6580.01</v>
      </c>
      <c r="C64" s="1050">
        <f t="shared" ca="1" si="13"/>
        <v>6720</v>
      </c>
      <c r="D64" s="1051">
        <f t="shared" si="14"/>
        <v>0.55899999999999983</v>
      </c>
      <c r="E64" s="1050">
        <f t="shared" ca="1" si="4"/>
        <v>3680</v>
      </c>
      <c r="F64" s="1052">
        <f t="shared" ca="1" si="28"/>
        <v>0</v>
      </c>
      <c r="G64" s="1053">
        <f t="shared" ca="1" si="24"/>
        <v>0</v>
      </c>
      <c r="I64" s="1049">
        <f t="shared" ca="1" si="15"/>
        <v>6580.01</v>
      </c>
      <c r="J64" s="1050">
        <f t="shared" ca="1" si="16"/>
        <v>6720</v>
      </c>
      <c r="K64" s="1051">
        <f t="shared" si="17"/>
        <v>0.55899999999999983</v>
      </c>
      <c r="L64" s="1050">
        <f t="shared" ca="1" si="6"/>
        <v>3680</v>
      </c>
      <c r="M64" s="1052">
        <f t="shared" ca="1" si="29"/>
        <v>0</v>
      </c>
      <c r="N64" s="1053">
        <f t="shared" ca="1" si="25"/>
        <v>0</v>
      </c>
      <c r="P64" s="1049">
        <f t="shared" ca="1" si="18"/>
        <v>6660.01</v>
      </c>
      <c r="Q64" s="1050">
        <f t="shared" ca="1" si="19"/>
        <v>6800</v>
      </c>
      <c r="R64" s="1051">
        <f t="shared" si="20"/>
        <v>0.55899999999999983</v>
      </c>
      <c r="S64" s="1050">
        <f t="shared" ca="1" si="8"/>
        <v>3720</v>
      </c>
      <c r="T64" s="1052">
        <f t="shared" ca="1" si="30"/>
        <v>0</v>
      </c>
      <c r="U64" s="1053">
        <f t="shared" ca="1" si="26"/>
        <v>0</v>
      </c>
      <c r="W64" s="1049">
        <f t="shared" ca="1" si="21"/>
        <v>6520.01</v>
      </c>
      <c r="X64" s="1050">
        <f t="shared" ca="1" si="22"/>
        <v>6660</v>
      </c>
      <c r="Y64" s="1051">
        <f t="shared" si="23"/>
        <v>0.55899999999999983</v>
      </c>
      <c r="Z64" s="1050">
        <f t="shared" ca="1" si="10"/>
        <v>3640</v>
      </c>
      <c r="AA64" s="1052">
        <f t="shared" ca="1" si="31"/>
        <v>0</v>
      </c>
      <c r="AB64" s="1053">
        <f t="shared" ca="1" si="27"/>
        <v>0</v>
      </c>
    </row>
    <row r="65" spans="2:28" x14ac:dyDescent="0.25">
      <c r="B65" s="1049">
        <f t="shared" ca="1" si="12"/>
        <v>6720.01</v>
      </c>
      <c r="C65" s="1050">
        <f t="shared" ca="1" si="13"/>
        <v>6860</v>
      </c>
      <c r="D65" s="1051">
        <f t="shared" si="14"/>
        <v>0.55599999999999983</v>
      </c>
      <c r="E65" s="1050">
        <f t="shared" ca="1" si="4"/>
        <v>3740</v>
      </c>
      <c r="F65" s="1052">
        <f t="shared" ca="1" si="28"/>
        <v>0</v>
      </c>
      <c r="G65" s="1053">
        <f t="shared" ca="1" si="24"/>
        <v>0</v>
      </c>
      <c r="I65" s="1049">
        <f t="shared" ca="1" si="15"/>
        <v>6720.01</v>
      </c>
      <c r="J65" s="1050">
        <f t="shared" ca="1" si="16"/>
        <v>6860</v>
      </c>
      <c r="K65" s="1051">
        <f t="shared" si="17"/>
        <v>0.55599999999999983</v>
      </c>
      <c r="L65" s="1050">
        <f t="shared" ca="1" si="6"/>
        <v>3740</v>
      </c>
      <c r="M65" s="1052">
        <f t="shared" ca="1" si="29"/>
        <v>0</v>
      </c>
      <c r="N65" s="1053">
        <f t="shared" ca="1" si="25"/>
        <v>0</v>
      </c>
      <c r="P65" s="1049">
        <f t="shared" ca="1" si="18"/>
        <v>6800.01</v>
      </c>
      <c r="Q65" s="1050">
        <f t="shared" ca="1" si="19"/>
        <v>6940</v>
      </c>
      <c r="R65" s="1051">
        <f t="shared" si="20"/>
        <v>0.55599999999999983</v>
      </c>
      <c r="S65" s="1050">
        <f t="shared" ca="1" si="8"/>
        <v>3780</v>
      </c>
      <c r="T65" s="1052">
        <f t="shared" ca="1" si="30"/>
        <v>0</v>
      </c>
      <c r="U65" s="1053">
        <f t="shared" ca="1" si="26"/>
        <v>0</v>
      </c>
      <c r="W65" s="1049">
        <f t="shared" ca="1" si="21"/>
        <v>6660.01</v>
      </c>
      <c r="X65" s="1050">
        <f t="shared" ca="1" si="22"/>
        <v>6800</v>
      </c>
      <c r="Y65" s="1051">
        <f t="shared" si="23"/>
        <v>0.55599999999999983</v>
      </c>
      <c r="Z65" s="1050">
        <f t="shared" ca="1" si="10"/>
        <v>3700</v>
      </c>
      <c r="AA65" s="1052">
        <f t="shared" ca="1" si="31"/>
        <v>0</v>
      </c>
      <c r="AB65" s="1053">
        <f t="shared" ca="1" si="27"/>
        <v>0</v>
      </c>
    </row>
    <row r="66" spans="2:28" x14ac:dyDescent="0.25">
      <c r="B66" s="1049">
        <f t="shared" ca="1" si="12"/>
        <v>6860.01</v>
      </c>
      <c r="C66" s="1050">
        <f t="shared" ca="1" si="13"/>
        <v>7000</v>
      </c>
      <c r="D66" s="1051">
        <f t="shared" si="14"/>
        <v>0.55299999999999983</v>
      </c>
      <c r="E66" s="1050">
        <f t="shared" ca="1" si="4"/>
        <v>3790</v>
      </c>
      <c r="F66" s="1052">
        <f t="shared" ca="1" si="28"/>
        <v>0</v>
      </c>
      <c r="G66" s="1053">
        <f t="shared" ca="1" si="24"/>
        <v>0</v>
      </c>
      <c r="I66" s="1049">
        <f t="shared" ca="1" si="15"/>
        <v>6860.01</v>
      </c>
      <c r="J66" s="1050">
        <f t="shared" ca="1" si="16"/>
        <v>7000</v>
      </c>
      <c r="K66" s="1051">
        <f t="shared" si="17"/>
        <v>0.55299999999999983</v>
      </c>
      <c r="L66" s="1050">
        <f t="shared" ca="1" si="6"/>
        <v>3790</v>
      </c>
      <c r="M66" s="1052">
        <f t="shared" ca="1" si="29"/>
        <v>0</v>
      </c>
      <c r="N66" s="1053">
        <f t="shared" ca="1" si="25"/>
        <v>0</v>
      </c>
      <c r="P66" s="1049">
        <f t="shared" ca="1" si="18"/>
        <v>6940.01</v>
      </c>
      <c r="Q66" s="1050">
        <f t="shared" ca="1" si="19"/>
        <v>7080</v>
      </c>
      <c r="R66" s="1051">
        <f t="shared" si="20"/>
        <v>0.55299999999999983</v>
      </c>
      <c r="S66" s="1050">
        <f t="shared" ca="1" si="8"/>
        <v>3840</v>
      </c>
      <c r="T66" s="1052">
        <f t="shared" ca="1" si="30"/>
        <v>0</v>
      </c>
      <c r="U66" s="1053">
        <f t="shared" ca="1" si="26"/>
        <v>0</v>
      </c>
      <c r="W66" s="1049">
        <f t="shared" ca="1" si="21"/>
        <v>6800.01</v>
      </c>
      <c r="X66" s="1050">
        <f t="shared" ca="1" si="22"/>
        <v>6940</v>
      </c>
      <c r="Y66" s="1051">
        <f t="shared" si="23"/>
        <v>0.55299999999999983</v>
      </c>
      <c r="Z66" s="1050">
        <f t="shared" ca="1" si="10"/>
        <v>3760</v>
      </c>
      <c r="AA66" s="1052">
        <f t="shared" ca="1" si="31"/>
        <v>0</v>
      </c>
      <c r="AB66" s="1053">
        <f t="shared" ca="1" si="27"/>
        <v>0</v>
      </c>
    </row>
    <row r="67" spans="2:28" x14ac:dyDescent="0.25">
      <c r="B67" s="1049">
        <f t="shared" ca="1" si="12"/>
        <v>7000.01</v>
      </c>
      <c r="C67" s="1050">
        <f t="shared" ca="1" si="13"/>
        <v>7140</v>
      </c>
      <c r="D67" s="1051">
        <f t="shared" si="14"/>
        <v>0.54999999999999982</v>
      </c>
      <c r="E67" s="1050">
        <f t="shared" ca="1" si="4"/>
        <v>3850</v>
      </c>
      <c r="F67" s="1052">
        <f t="shared" ca="1" si="28"/>
        <v>0</v>
      </c>
      <c r="G67" s="1053">
        <f t="shared" ca="1" si="24"/>
        <v>0</v>
      </c>
      <c r="I67" s="1049">
        <f t="shared" ca="1" si="15"/>
        <v>7000.01</v>
      </c>
      <c r="J67" s="1050">
        <f t="shared" ca="1" si="16"/>
        <v>7140</v>
      </c>
      <c r="K67" s="1051">
        <f t="shared" si="17"/>
        <v>0.54999999999999982</v>
      </c>
      <c r="L67" s="1050">
        <f t="shared" ca="1" si="6"/>
        <v>3850</v>
      </c>
      <c r="M67" s="1052">
        <f t="shared" ca="1" si="29"/>
        <v>0</v>
      </c>
      <c r="N67" s="1053">
        <f t="shared" ca="1" si="25"/>
        <v>0</v>
      </c>
      <c r="P67" s="1049">
        <f t="shared" ca="1" si="18"/>
        <v>7080.01</v>
      </c>
      <c r="Q67" s="1050">
        <f t="shared" ca="1" si="19"/>
        <v>7220</v>
      </c>
      <c r="R67" s="1051">
        <f t="shared" si="20"/>
        <v>0.54999999999999982</v>
      </c>
      <c r="S67" s="1050">
        <f t="shared" ca="1" si="8"/>
        <v>3890</v>
      </c>
      <c r="T67" s="1052">
        <f t="shared" ca="1" si="30"/>
        <v>0</v>
      </c>
      <c r="U67" s="1053">
        <f t="shared" ca="1" si="26"/>
        <v>0</v>
      </c>
      <c r="W67" s="1049">
        <f t="shared" ca="1" si="21"/>
        <v>6940.01</v>
      </c>
      <c r="X67" s="1050">
        <f t="shared" ca="1" si="22"/>
        <v>7080</v>
      </c>
      <c r="Y67" s="1051">
        <f t="shared" si="23"/>
        <v>0.54999999999999982</v>
      </c>
      <c r="Z67" s="1050">
        <f t="shared" ca="1" si="10"/>
        <v>3820</v>
      </c>
      <c r="AA67" s="1052">
        <f t="shared" ca="1" si="31"/>
        <v>0</v>
      </c>
      <c r="AB67" s="1053">
        <f t="shared" ca="1" si="27"/>
        <v>0</v>
      </c>
    </row>
    <row r="68" spans="2:28" x14ac:dyDescent="0.25">
      <c r="B68" s="1049">
        <f t="shared" ca="1" si="12"/>
        <v>7140.01</v>
      </c>
      <c r="C68" s="1050">
        <f t="shared" ca="1" si="13"/>
        <v>7280</v>
      </c>
      <c r="D68" s="1051">
        <f t="shared" si="14"/>
        <v>0.54699999999999982</v>
      </c>
      <c r="E68" s="1050">
        <f t="shared" ca="1" si="4"/>
        <v>3910</v>
      </c>
      <c r="F68" s="1052">
        <f t="shared" ca="1" si="28"/>
        <v>0</v>
      </c>
      <c r="G68" s="1053">
        <f t="shared" ca="1" si="24"/>
        <v>0</v>
      </c>
      <c r="I68" s="1049">
        <f t="shared" ca="1" si="15"/>
        <v>7140.01</v>
      </c>
      <c r="J68" s="1050">
        <f t="shared" ca="1" si="16"/>
        <v>7280</v>
      </c>
      <c r="K68" s="1051">
        <f t="shared" si="17"/>
        <v>0.54699999999999982</v>
      </c>
      <c r="L68" s="1050">
        <f t="shared" ca="1" si="6"/>
        <v>3910</v>
      </c>
      <c r="M68" s="1052">
        <f t="shared" ca="1" si="29"/>
        <v>0</v>
      </c>
      <c r="N68" s="1053">
        <f t="shared" ca="1" si="25"/>
        <v>0</v>
      </c>
      <c r="P68" s="1049">
        <f t="shared" ca="1" si="18"/>
        <v>7220.01</v>
      </c>
      <c r="Q68" s="1050">
        <f t="shared" ca="1" si="19"/>
        <v>7360</v>
      </c>
      <c r="R68" s="1051">
        <f t="shared" si="20"/>
        <v>0.54699999999999982</v>
      </c>
      <c r="S68" s="1050">
        <f t="shared" ca="1" si="8"/>
        <v>3950</v>
      </c>
      <c r="T68" s="1052">
        <f t="shared" ca="1" si="30"/>
        <v>0</v>
      </c>
      <c r="U68" s="1053">
        <f t="shared" ca="1" si="26"/>
        <v>0</v>
      </c>
      <c r="W68" s="1049">
        <f t="shared" ca="1" si="21"/>
        <v>7080.01</v>
      </c>
      <c r="X68" s="1050">
        <f t="shared" ca="1" si="22"/>
        <v>7220</v>
      </c>
      <c r="Y68" s="1051">
        <f t="shared" si="23"/>
        <v>0.54699999999999982</v>
      </c>
      <c r="Z68" s="1050">
        <f t="shared" ca="1" si="10"/>
        <v>3870</v>
      </c>
      <c r="AA68" s="1052">
        <f t="shared" ca="1" si="31"/>
        <v>0</v>
      </c>
      <c r="AB68" s="1053">
        <f t="shared" ca="1" si="27"/>
        <v>0</v>
      </c>
    </row>
    <row r="69" spans="2:28" x14ac:dyDescent="0.25">
      <c r="B69" s="1049">
        <f t="shared" ca="1" si="12"/>
        <v>7280.01</v>
      </c>
      <c r="C69" s="1050">
        <f t="shared" ca="1" si="13"/>
        <v>7420</v>
      </c>
      <c r="D69" s="1051">
        <f t="shared" si="14"/>
        <v>0.54399999999999982</v>
      </c>
      <c r="E69" s="1050">
        <f t="shared" ca="1" si="4"/>
        <v>3960</v>
      </c>
      <c r="F69" s="1052">
        <f t="shared" ca="1" si="28"/>
        <v>0</v>
      </c>
      <c r="G69" s="1053">
        <f t="shared" ca="1" si="24"/>
        <v>0</v>
      </c>
      <c r="I69" s="1049">
        <f t="shared" ca="1" si="15"/>
        <v>7280.01</v>
      </c>
      <c r="J69" s="1050">
        <f t="shared" ca="1" si="16"/>
        <v>7420</v>
      </c>
      <c r="K69" s="1051">
        <f t="shared" si="17"/>
        <v>0.54399999999999982</v>
      </c>
      <c r="L69" s="1050">
        <f t="shared" ca="1" si="6"/>
        <v>3960</v>
      </c>
      <c r="M69" s="1052">
        <f t="shared" ca="1" si="29"/>
        <v>0</v>
      </c>
      <c r="N69" s="1053">
        <f t="shared" ca="1" si="25"/>
        <v>0</v>
      </c>
      <c r="P69" s="1049">
        <f t="shared" ca="1" si="18"/>
        <v>7360.01</v>
      </c>
      <c r="Q69" s="1050">
        <f t="shared" ca="1" si="19"/>
        <v>7500</v>
      </c>
      <c r="R69" s="1051">
        <f t="shared" si="20"/>
        <v>0.54399999999999982</v>
      </c>
      <c r="S69" s="1050">
        <f t="shared" ca="1" si="8"/>
        <v>4000</v>
      </c>
      <c r="T69" s="1052">
        <f t="shared" ca="1" si="30"/>
        <v>0</v>
      </c>
      <c r="U69" s="1053">
        <f t="shared" ca="1" si="26"/>
        <v>0</v>
      </c>
      <c r="W69" s="1049">
        <f t="shared" ca="1" si="21"/>
        <v>7220.01</v>
      </c>
      <c r="X69" s="1050">
        <f t="shared" ca="1" si="22"/>
        <v>7360</v>
      </c>
      <c r="Y69" s="1051">
        <f t="shared" si="23"/>
        <v>0.54399999999999982</v>
      </c>
      <c r="Z69" s="1050">
        <f t="shared" ca="1" si="10"/>
        <v>3930</v>
      </c>
      <c r="AA69" s="1052">
        <f t="shared" ca="1" si="31"/>
        <v>0</v>
      </c>
      <c r="AB69" s="1053">
        <f t="shared" ca="1" si="27"/>
        <v>0</v>
      </c>
    </row>
    <row r="70" spans="2:28" x14ac:dyDescent="0.25">
      <c r="B70" s="1049">
        <f t="shared" ca="1" si="12"/>
        <v>7420.01</v>
      </c>
      <c r="C70" s="1050">
        <f t="shared" ca="1" si="13"/>
        <v>7560</v>
      </c>
      <c r="D70" s="1051">
        <f t="shared" si="14"/>
        <v>0.54099999999999981</v>
      </c>
      <c r="E70" s="1050">
        <f t="shared" ca="1" si="4"/>
        <v>4010</v>
      </c>
      <c r="F70" s="1052">
        <f t="shared" ca="1" si="28"/>
        <v>0</v>
      </c>
      <c r="G70" s="1053">
        <f t="shared" ca="1" si="24"/>
        <v>0</v>
      </c>
      <c r="I70" s="1049">
        <f t="shared" ca="1" si="15"/>
        <v>7420.01</v>
      </c>
      <c r="J70" s="1050">
        <f t="shared" ca="1" si="16"/>
        <v>7560</v>
      </c>
      <c r="K70" s="1051">
        <f t="shared" si="17"/>
        <v>0.54099999999999981</v>
      </c>
      <c r="L70" s="1050">
        <f t="shared" ca="1" si="6"/>
        <v>4010</v>
      </c>
      <c r="M70" s="1052">
        <f t="shared" ca="1" si="29"/>
        <v>0</v>
      </c>
      <c r="N70" s="1053">
        <f t="shared" ca="1" si="25"/>
        <v>0</v>
      </c>
      <c r="P70" s="1049">
        <f t="shared" ca="1" si="18"/>
        <v>7500.01</v>
      </c>
      <c r="Q70" s="1050">
        <f t="shared" ca="1" si="19"/>
        <v>7640</v>
      </c>
      <c r="R70" s="1051">
        <f t="shared" si="20"/>
        <v>0.54099999999999981</v>
      </c>
      <c r="S70" s="1050">
        <f t="shared" ca="1" si="8"/>
        <v>4060</v>
      </c>
      <c r="T70" s="1052">
        <f t="shared" ca="1" si="30"/>
        <v>0</v>
      </c>
      <c r="U70" s="1053">
        <f t="shared" ca="1" si="26"/>
        <v>0</v>
      </c>
      <c r="W70" s="1049">
        <f t="shared" ca="1" si="21"/>
        <v>7360.01</v>
      </c>
      <c r="X70" s="1050">
        <f t="shared" ca="1" si="22"/>
        <v>7500</v>
      </c>
      <c r="Y70" s="1051">
        <f t="shared" si="23"/>
        <v>0.54099999999999981</v>
      </c>
      <c r="Z70" s="1050">
        <f t="shared" ca="1" si="10"/>
        <v>3980</v>
      </c>
      <c r="AA70" s="1052">
        <f t="shared" ca="1" si="31"/>
        <v>0</v>
      </c>
      <c r="AB70" s="1053">
        <f t="shared" ca="1" si="27"/>
        <v>0</v>
      </c>
    </row>
    <row r="71" spans="2:28" x14ac:dyDescent="0.25">
      <c r="B71" s="1049">
        <f t="shared" ca="1" si="12"/>
        <v>7560.01</v>
      </c>
      <c r="C71" s="1050">
        <f t="shared" ca="1" si="13"/>
        <v>7700</v>
      </c>
      <c r="D71" s="1051">
        <f t="shared" si="14"/>
        <v>0.53799999999999981</v>
      </c>
      <c r="E71" s="1050">
        <f t="shared" ca="1" si="4"/>
        <v>4070</v>
      </c>
      <c r="F71" s="1052">
        <f t="shared" ca="1" si="28"/>
        <v>0</v>
      </c>
      <c r="G71" s="1053">
        <f t="shared" ca="1" si="24"/>
        <v>0</v>
      </c>
      <c r="I71" s="1049">
        <f t="shared" ca="1" si="15"/>
        <v>7560.01</v>
      </c>
      <c r="J71" s="1050">
        <f t="shared" ca="1" si="16"/>
        <v>7700</v>
      </c>
      <c r="K71" s="1051">
        <f t="shared" si="17"/>
        <v>0.53799999999999981</v>
      </c>
      <c r="L71" s="1050">
        <f t="shared" ca="1" si="6"/>
        <v>4070</v>
      </c>
      <c r="M71" s="1052">
        <f t="shared" ca="1" si="29"/>
        <v>0</v>
      </c>
      <c r="N71" s="1053">
        <f t="shared" ca="1" si="25"/>
        <v>0</v>
      </c>
      <c r="P71" s="1049">
        <f t="shared" ca="1" si="18"/>
        <v>7640.01</v>
      </c>
      <c r="Q71" s="1050">
        <f t="shared" ca="1" si="19"/>
        <v>7780</v>
      </c>
      <c r="R71" s="1051">
        <f t="shared" si="20"/>
        <v>0.53799999999999981</v>
      </c>
      <c r="S71" s="1050">
        <f t="shared" ca="1" si="8"/>
        <v>4110</v>
      </c>
      <c r="T71" s="1052">
        <f t="shared" ca="1" si="30"/>
        <v>0</v>
      </c>
      <c r="U71" s="1053">
        <f t="shared" ca="1" si="26"/>
        <v>0</v>
      </c>
      <c r="W71" s="1049">
        <f t="shared" ca="1" si="21"/>
        <v>7500.01</v>
      </c>
      <c r="X71" s="1050">
        <f t="shared" ca="1" si="22"/>
        <v>7640</v>
      </c>
      <c r="Y71" s="1051">
        <f t="shared" si="23"/>
        <v>0.53799999999999981</v>
      </c>
      <c r="Z71" s="1050">
        <f t="shared" ca="1" si="10"/>
        <v>4040</v>
      </c>
      <c r="AA71" s="1052">
        <f t="shared" ca="1" si="31"/>
        <v>0</v>
      </c>
      <c r="AB71" s="1053">
        <f t="shared" ca="1" si="27"/>
        <v>0</v>
      </c>
    </row>
    <row r="72" spans="2:28" x14ac:dyDescent="0.25">
      <c r="B72" s="1049">
        <f t="shared" ca="1" si="12"/>
        <v>7700.01</v>
      </c>
      <c r="C72" s="1050">
        <f t="shared" ca="1" si="13"/>
        <v>7840</v>
      </c>
      <c r="D72" s="1051">
        <f t="shared" si="14"/>
        <v>0.53499999999999981</v>
      </c>
      <c r="E72" s="1050">
        <f t="shared" ca="1" si="4"/>
        <v>4120</v>
      </c>
      <c r="F72" s="1052">
        <f t="shared" ca="1" si="28"/>
        <v>0</v>
      </c>
      <c r="G72" s="1053">
        <f t="shared" ca="1" si="24"/>
        <v>0</v>
      </c>
      <c r="I72" s="1049">
        <f t="shared" ca="1" si="15"/>
        <v>7700.01</v>
      </c>
      <c r="J72" s="1050">
        <f t="shared" ca="1" si="16"/>
        <v>7840</v>
      </c>
      <c r="K72" s="1051">
        <f t="shared" si="17"/>
        <v>0.53499999999999981</v>
      </c>
      <c r="L72" s="1050">
        <f t="shared" ca="1" si="6"/>
        <v>4120</v>
      </c>
      <c r="M72" s="1052">
        <f t="shared" ca="1" si="29"/>
        <v>0</v>
      </c>
      <c r="N72" s="1053">
        <f t="shared" ca="1" si="25"/>
        <v>0</v>
      </c>
      <c r="P72" s="1049">
        <f t="shared" ca="1" si="18"/>
        <v>7780.01</v>
      </c>
      <c r="Q72" s="1050">
        <f t="shared" ca="1" si="19"/>
        <v>7920</v>
      </c>
      <c r="R72" s="1051">
        <f t="shared" si="20"/>
        <v>0.53499999999999981</v>
      </c>
      <c r="S72" s="1050">
        <f t="shared" ca="1" si="8"/>
        <v>4160</v>
      </c>
      <c r="T72" s="1052">
        <f t="shared" ca="1" si="30"/>
        <v>0</v>
      </c>
      <c r="U72" s="1053">
        <f t="shared" ca="1" si="26"/>
        <v>0</v>
      </c>
      <c r="W72" s="1049">
        <f t="shared" ca="1" si="21"/>
        <v>7640.01</v>
      </c>
      <c r="X72" s="1050">
        <f t="shared" ca="1" si="22"/>
        <v>7780</v>
      </c>
      <c r="Y72" s="1051">
        <f t="shared" si="23"/>
        <v>0.53499999999999981</v>
      </c>
      <c r="Z72" s="1050">
        <f t="shared" ca="1" si="10"/>
        <v>4090</v>
      </c>
      <c r="AA72" s="1052">
        <f t="shared" ca="1" si="31"/>
        <v>0</v>
      </c>
      <c r="AB72" s="1053">
        <f t="shared" ca="1" si="27"/>
        <v>0</v>
      </c>
    </row>
    <row r="73" spans="2:28" x14ac:dyDescent="0.25">
      <c r="B73" s="1049">
        <f t="shared" ca="1" si="12"/>
        <v>7840.01</v>
      </c>
      <c r="C73" s="1050">
        <f t="shared" ca="1" si="13"/>
        <v>7980</v>
      </c>
      <c r="D73" s="1051">
        <f t="shared" si="14"/>
        <v>0.53199999999999981</v>
      </c>
      <c r="E73" s="1050">
        <f t="shared" ca="1" si="4"/>
        <v>4170</v>
      </c>
      <c r="F73" s="1052">
        <f t="shared" ca="1" si="28"/>
        <v>0</v>
      </c>
      <c r="G73" s="1053">
        <f t="shared" ca="1" si="24"/>
        <v>0</v>
      </c>
      <c r="I73" s="1049">
        <f t="shared" ca="1" si="15"/>
        <v>7840.01</v>
      </c>
      <c r="J73" s="1050">
        <f t="shared" ca="1" si="16"/>
        <v>7980</v>
      </c>
      <c r="K73" s="1051">
        <f t="shared" si="17"/>
        <v>0.53199999999999981</v>
      </c>
      <c r="L73" s="1050">
        <f t="shared" ca="1" si="6"/>
        <v>4170</v>
      </c>
      <c r="M73" s="1052">
        <f t="shared" ca="1" si="29"/>
        <v>0</v>
      </c>
      <c r="N73" s="1053">
        <f t="shared" ca="1" si="25"/>
        <v>0</v>
      </c>
      <c r="P73" s="1049">
        <f t="shared" ca="1" si="18"/>
        <v>7920.01</v>
      </c>
      <c r="Q73" s="1050">
        <f t="shared" ca="1" si="19"/>
        <v>8060</v>
      </c>
      <c r="R73" s="1051">
        <f t="shared" si="20"/>
        <v>0.53199999999999981</v>
      </c>
      <c r="S73" s="1050">
        <f t="shared" ca="1" si="8"/>
        <v>4210</v>
      </c>
      <c r="T73" s="1052">
        <f t="shared" ca="1" si="30"/>
        <v>0</v>
      </c>
      <c r="U73" s="1053">
        <f t="shared" ca="1" si="26"/>
        <v>0</v>
      </c>
      <c r="W73" s="1049">
        <f t="shared" ca="1" si="21"/>
        <v>7780.01</v>
      </c>
      <c r="X73" s="1050">
        <f t="shared" ca="1" si="22"/>
        <v>7920</v>
      </c>
      <c r="Y73" s="1051">
        <f t="shared" si="23"/>
        <v>0.53199999999999981</v>
      </c>
      <c r="Z73" s="1050">
        <f t="shared" ca="1" si="10"/>
        <v>4140</v>
      </c>
      <c r="AA73" s="1052">
        <f t="shared" ca="1" si="31"/>
        <v>0</v>
      </c>
      <c r="AB73" s="1053">
        <f t="shared" ca="1" si="27"/>
        <v>0</v>
      </c>
    </row>
    <row r="74" spans="2:28" x14ac:dyDescent="0.25">
      <c r="B74" s="1049">
        <f t="shared" ca="1" si="12"/>
        <v>7980.01</v>
      </c>
      <c r="C74" s="1050">
        <f t="shared" ca="1" si="13"/>
        <v>8120</v>
      </c>
      <c r="D74" s="1051">
        <f t="shared" si="14"/>
        <v>0.5289999999999998</v>
      </c>
      <c r="E74" s="1050">
        <f t="shared" ca="1" si="4"/>
        <v>4220</v>
      </c>
      <c r="F74" s="1052">
        <f t="shared" ca="1" si="28"/>
        <v>0</v>
      </c>
      <c r="G74" s="1053">
        <f t="shared" ca="1" si="24"/>
        <v>0</v>
      </c>
      <c r="I74" s="1049">
        <f t="shared" ca="1" si="15"/>
        <v>7980.01</v>
      </c>
      <c r="J74" s="1050">
        <f t="shared" ca="1" si="16"/>
        <v>8120</v>
      </c>
      <c r="K74" s="1051">
        <f t="shared" si="17"/>
        <v>0.5289999999999998</v>
      </c>
      <c r="L74" s="1050">
        <f t="shared" ca="1" si="6"/>
        <v>4220</v>
      </c>
      <c r="M74" s="1052">
        <f t="shared" ca="1" si="29"/>
        <v>0</v>
      </c>
      <c r="N74" s="1053">
        <f t="shared" ca="1" si="25"/>
        <v>0</v>
      </c>
      <c r="P74" s="1049">
        <f t="shared" ca="1" si="18"/>
        <v>8060.01</v>
      </c>
      <c r="Q74" s="1050">
        <f t="shared" ca="1" si="19"/>
        <v>8200</v>
      </c>
      <c r="R74" s="1051">
        <f t="shared" si="20"/>
        <v>0.5289999999999998</v>
      </c>
      <c r="S74" s="1050">
        <f t="shared" ca="1" si="8"/>
        <v>4260</v>
      </c>
      <c r="T74" s="1052">
        <f t="shared" ca="1" si="30"/>
        <v>0</v>
      </c>
      <c r="U74" s="1053">
        <f t="shared" ca="1" si="26"/>
        <v>0</v>
      </c>
      <c r="W74" s="1049">
        <f t="shared" ca="1" si="21"/>
        <v>7920.01</v>
      </c>
      <c r="X74" s="1050">
        <f t="shared" ca="1" si="22"/>
        <v>8060</v>
      </c>
      <c r="Y74" s="1051">
        <f t="shared" si="23"/>
        <v>0.5289999999999998</v>
      </c>
      <c r="Z74" s="1050">
        <f t="shared" ca="1" si="10"/>
        <v>4190</v>
      </c>
      <c r="AA74" s="1052">
        <f t="shared" ca="1" si="31"/>
        <v>0</v>
      </c>
      <c r="AB74" s="1053">
        <f t="shared" ca="1" si="27"/>
        <v>0</v>
      </c>
    </row>
    <row r="75" spans="2:28" x14ac:dyDescent="0.25">
      <c r="B75" s="1049">
        <f t="shared" ca="1" si="12"/>
        <v>8120.01</v>
      </c>
      <c r="C75" s="1050">
        <f t="shared" ca="1" si="13"/>
        <v>8260</v>
      </c>
      <c r="D75" s="1051">
        <f t="shared" si="14"/>
        <v>0.5259999999999998</v>
      </c>
      <c r="E75" s="1050">
        <f t="shared" ca="1" si="4"/>
        <v>4270</v>
      </c>
      <c r="F75" s="1052">
        <f t="shared" ca="1" si="28"/>
        <v>0</v>
      </c>
      <c r="G75" s="1053">
        <f t="shared" ca="1" si="24"/>
        <v>0</v>
      </c>
      <c r="I75" s="1049">
        <f t="shared" ca="1" si="15"/>
        <v>8120.01</v>
      </c>
      <c r="J75" s="1050">
        <f t="shared" ca="1" si="16"/>
        <v>8260</v>
      </c>
      <c r="K75" s="1051">
        <f t="shared" si="17"/>
        <v>0.5259999999999998</v>
      </c>
      <c r="L75" s="1050">
        <f t="shared" ca="1" si="6"/>
        <v>4270</v>
      </c>
      <c r="M75" s="1052">
        <f t="shared" ca="1" si="29"/>
        <v>0</v>
      </c>
      <c r="N75" s="1053">
        <f t="shared" ca="1" si="25"/>
        <v>0</v>
      </c>
      <c r="P75" s="1049">
        <f t="shared" ca="1" si="18"/>
        <v>8200.01</v>
      </c>
      <c r="Q75" s="1050">
        <f t="shared" ca="1" si="19"/>
        <v>8340</v>
      </c>
      <c r="R75" s="1051">
        <f t="shared" si="20"/>
        <v>0.5259999999999998</v>
      </c>
      <c r="S75" s="1050">
        <f t="shared" ca="1" si="8"/>
        <v>4310</v>
      </c>
      <c r="T75" s="1052">
        <f t="shared" ca="1" si="30"/>
        <v>0</v>
      </c>
      <c r="U75" s="1053">
        <f t="shared" ca="1" si="26"/>
        <v>0</v>
      </c>
      <c r="W75" s="1049">
        <f t="shared" ca="1" si="21"/>
        <v>8060.01</v>
      </c>
      <c r="X75" s="1050">
        <f t="shared" ca="1" si="22"/>
        <v>8200</v>
      </c>
      <c r="Y75" s="1051">
        <f t="shared" si="23"/>
        <v>0.5259999999999998</v>
      </c>
      <c r="Z75" s="1050">
        <f t="shared" ca="1" si="10"/>
        <v>4240</v>
      </c>
      <c r="AA75" s="1052">
        <f t="shared" ca="1" si="31"/>
        <v>0</v>
      </c>
      <c r="AB75" s="1053">
        <f t="shared" ca="1" si="27"/>
        <v>0</v>
      </c>
    </row>
    <row r="76" spans="2:28" x14ac:dyDescent="0.25">
      <c r="B76" s="1049">
        <f t="shared" ca="1" si="12"/>
        <v>8260.01</v>
      </c>
      <c r="C76" s="1050">
        <f t="shared" ca="1" si="13"/>
        <v>8400</v>
      </c>
      <c r="D76" s="1051">
        <f t="shared" si="14"/>
        <v>0.5229999999999998</v>
      </c>
      <c r="E76" s="1050">
        <f t="shared" ca="1" si="4"/>
        <v>4320</v>
      </c>
      <c r="F76" s="1052">
        <f t="shared" ca="1" si="28"/>
        <v>0</v>
      </c>
      <c r="G76" s="1053">
        <f t="shared" ca="1" si="24"/>
        <v>0</v>
      </c>
      <c r="I76" s="1049">
        <f t="shared" ca="1" si="15"/>
        <v>8260.01</v>
      </c>
      <c r="J76" s="1050">
        <f t="shared" ca="1" si="16"/>
        <v>8400</v>
      </c>
      <c r="K76" s="1051">
        <f t="shared" si="17"/>
        <v>0.5229999999999998</v>
      </c>
      <c r="L76" s="1050">
        <f t="shared" ca="1" si="6"/>
        <v>4320</v>
      </c>
      <c r="M76" s="1052">
        <f t="shared" ca="1" si="29"/>
        <v>0</v>
      </c>
      <c r="N76" s="1053">
        <f t="shared" ca="1" si="25"/>
        <v>0</v>
      </c>
      <c r="P76" s="1049">
        <f t="shared" ca="1" si="18"/>
        <v>8340.01</v>
      </c>
      <c r="Q76" s="1050">
        <f t="shared" ca="1" si="19"/>
        <v>8480</v>
      </c>
      <c r="R76" s="1051">
        <f t="shared" si="20"/>
        <v>0.5229999999999998</v>
      </c>
      <c r="S76" s="1050">
        <f t="shared" ca="1" si="8"/>
        <v>4360</v>
      </c>
      <c r="T76" s="1052">
        <f t="shared" ca="1" si="30"/>
        <v>0</v>
      </c>
      <c r="U76" s="1053">
        <f t="shared" ca="1" si="26"/>
        <v>0</v>
      </c>
      <c r="W76" s="1049">
        <f t="shared" ca="1" si="21"/>
        <v>8200.01</v>
      </c>
      <c r="X76" s="1050">
        <f t="shared" ca="1" si="22"/>
        <v>8340</v>
      </c>
      <c r="Y76" s="1051">
        <f t="shared" si="23"/>
        <v>0.5229999999999998</v>
      </c>
      <c r="Z76" s="1050">
        <f t="shared" ca="1" si="10"/>
        <v>4290</v>
      </c>
      <c r="AA76" s="1052">
        <f t="shared" ca="1" si="31"/>
        <v>0</v>
      </c>
      <c r="AB76" s="1053">
        <f t="shared" ca="1" si="27"/>
        <v>0</v>
      </c>
    </row>
    <row r="77" spans="2:28" x14ac:dyDescent="0.25">
      <c r="B77" s="1049">
        <f t="shared" ca="1" si="12"/>
        <v>8400.01</v>
      </c>
      <c r="C77" s="1050">
        <f t="shared" ca="1" si="13"/>
        <v>8540</v>
      </c>
      <c r="D77" s="1051">
        <f t="shared" si="14"/>
        <v>0.5199999999999998</v>
      </c>
      <c r="E77" s="1050">
        <f t="shared" ca="1" si="4"/>
        <v>4370</v>
      </c>
      <c r="F77" s="1052">
        <f t="shared" ca="1" si="28"/>
        <v>0</v>
      </c>
      <c r="G77" s="1053">
        <f t="shared" ca="1" si="24"/>
        <v>0</v>
      </c>
      <c r="I77" s="1049">
        <f t="shared" ca="1" si="15"/>
        <v>8400.01</v>
      </c>
      <c r="J77" s="1050">
        <f t="shared" ca="1" si="16"/>
        <v>8540</v>
      </c>
      <c r="K77" s="1051">
        <f t="shared" si="17"/>
        <v>0.5199999999999998</v>
      </c>
      <c r="L77" s="1050">
        <f t="shared" ca="1" si="6"/>
        <v>4370</v>
      </c>
      <c r="M77" s="1052">
        <f t="shared" ca="1" si="29"/>
        <v>0</v>
      </c>
      <c r="N77" s="1053">
        <f t="shared" ca="1" si="25"/>
        <v>0</v>
      </c>
      <c r="P77" s="1049">
        <f t="shared" ca="1" si="18"/>
        <v>8480.01</v>
      </c>
      <c r="Q77" s="1050">
        <f t="shared" ca="1" si="19"/>
        <v>8620</v>
      </c>
      <c r="R77" s="1051">
        <f t="shared" si="20"/>
        <v>0.5199999999999998</v>
      </c>
      <c r="S77" s="1050">
        <f t="shared" ca="1" si="8"/>
        <v>4410</v>
      </c>
      <c r="T77" s="1052">
        <f t="shared" ca="1" si="30"/>
        <v>0</v>
      </c>
      <c r="U77" s="1053">
        <f t="shared" ca="1" si="26"/>
        <v>0</v>
      </c>
      <c r="W77" s="1049">
        <f t="shared" ca="1" si="21"/>
        <v>8340.01</v>
      </c>
      <c r="X77" s="1050">
        <f t="shared" ca="1" si="22"/>
        <v>8480</v>
      </c>
      <c r="Y77" s="1051">
        <f t="shared" si="23"/>
        <v>0.5199999999999998</v>
      </c>
      <c r="Z77" s="1050">
        <f t="shared" ca="1" si="10"/>
        <v>4340</v>
      </c>
      <c r="AA77" s="1052">
        <f t="shared" ca="1" si="31"/>
        <v>0</v>
      </c>
      <c r="AB77" s="1053">
        <f t="shared" ca="1" si="27"/>
        <v>0</v>
      </c>
    </row>
    <row r="78" spans="2:28" x14ac:dyDescent="0.25">
      <c r="B78" s="1049">
        <f t="shared" ca="1" si="12"/>
        <v>8540.01</v>
      </c>
      <c r="C78" s="1050">
        <f t="shared" ca="1" si="13"/>
        <v>8680</v>
      </c>
      <c r="D78" s="1051">
        <f t="shared" si="14"/>
        <v>0.51699999999999979</v>
      </c>
      <c r="E78" s="1050">
        <f t="shared" ca="1" si="4"/>
        <v>4420</v>
      </c>
      <c r="F78" s="1052">
        <f t="shared" ca="1" si="28"/>
        <v>0</v>
      </c>
      <c r="G78" s="1053">
        <f t="shared" ca="1" si="24"/>
        <v>0</v>
      </c>
      <c r="I78" s="1049">
        <f t="shared" ca="1" si="15"/>
        <v>8540.01</v>
      </c>
      <c r="J78" s="1050">
        <f t="shared" ca="1" si="16"/>
        <v>8680</v>
      </c>
      <c r="K78" s="1051">
        <f t="shared" si="17"/>
        <v>0.51699999999999979</v>
      </c>
      <c r="L78" s="1050">
        <f t="shared" ca="1" si="6"/>
        <v>4420</v>
      </c>
      <c r="M78" s="1052">
        <f t="shared" ca="1" si="29"/>
        <v>0</v>
      </c>
      <c r="N78" s="1053">
        <f t="shared" ca="1" si="25"/>
        <v>0</v>
      </c>
      <c r="P78" s="1049">
        <f t="shared" ca="1" si="18"/>
        <v>8620.01</v>
      </c>
      <c r="Q78" s="1050">
        <f t="shared" ca="1" si="19"/>
        <v>8760</v>
      </c>
      <c r="R78" s="1051">
        <f t="shared" si="20"/>
        <v>0.51699999999999979</v>
      </c>
      <c r="S78" s="1050">
        <f t="shared" ca="1" si="8"/>
        <v>4460</v>
      </c>
      <c r="T78" s="1052">
        <f t="shared" ca="1" si="30"/>
        <v>0</v>
      </c>
      <c r="U78" s="1053">
        <f t="shared" ca="1" si="26"/>
        <v>0</v>
      </c>
      <c r="W78" s="1049">
        <f t="shared" ca="1" si="21"/>
        <v>8480.01</v>
      </c>
      <c r="X78" s="1050">
        <f t="shared" ca="1" si="22"/>
        <v>8620</v>
      </c>
      <c r="Y78" s="1051">
        <f t="shared" si="23"/>
        <v>0.51699999999999979</v>
      </c>
      <c r="Z78" s="1050">
        <f t="shared" ca="1" si="10"/>
        <v>4380</v>
      </c>
      <c r="AA78" s="1052">
        <f t="shared" ca="1" si="31"/>
        <v>0</v>
      </c>
      <c r="AB78" s="1053">
        <f t="shared" ca="1" si="27"/>
        <v>0</v>
      </c>
    </row>
    <row r="79" spans="2:28" x14ac:dyDescent="0.25">
      <c r="B79" s="1049">
        <f t="shared" ca="1" si="12"/>
        <v>8680.01</v>
      </c>
      <c r="C79" s="1050">
        <f t="shared" ca="1" si="13"/>
        <v>8820</v>
      </c>
      <c r="D79" s="1051">
        <f t="shared" si="14"/>
        <v>0.51399999999999979</v>
      </c>
      <c r="E79" s="1050">
        <f t="shared" ca="1" si="4"/>
        <v>4460</v>
      </c>
      <c r="F79" s="1052">
        <f t="shared" ca="1" si="28"/>
        <v>0</v>
      </c>
      <c r="G79" s="1053">
        <f t="shared" ca="1" si="24"/>
        <v>0</v>
      </c>
      <c r="I79" s="1049">
        <f t="shared" ca="1" si="15"/>
        <v>8680.01</v>
      </c>
      <c r="J79" s="1050">
        <f t="shared" ca="1" si="16"/>
        <v>8820</v>
      </c>
      <c r="K79" s="1051">
        <f t="shared" si="17"/>
        <v>0.51399999999999979</v>
      </c>
      <c r="L79" s="1050">
        <f t="shared" ca="1" si="6"/>
        <v>4460</v>
      </c>
      <c r="M79" s="1052">
        <f t="shared" ca="1" si="29"/>
        <v>0</v>
      </c>
      <c r="N79" s="1053">
        <f t="shared" ca="1" si="25"/>
        <v>0</v>
      </c>
      <c r="P79" s="1049">
        <f t="shared" ca="1" si="18"/>
        <v>8760.01</v>
      </c>
      <c r="Q79" s="1050">
        <f t="shared" ca="1" si="19"/>
        <v>8900</v>
      </c>
      <c r="R79" s="1051">
        <f t="shared" si="20"/>
        <v>0.51399999999999979</v>
      </c>
      <c r="S79" s="1050">
        <f t="shared" ca="1" si="8"/>
        <v>4500</v>
      </c>
      <c r="T79" s="1052">
        <f t="shared" ca="1" si="30"/>
        <v>0</v>
      </c>
      <c r="U79" s="1053">
        <f t="shared" ca="1" si="26"/>
        <v>0</v>
      </c>
      <c r="W79" s="1049">
        <f t="shared" ca="1" si="21"/>
        <v>8620.01</v>
      </c>
      <c r="X79" s="1050">
        <f t="shared" ca="1" si="22"/>
        <v>8760</v>
      </c>
      <c r="Y79" s="1051">
        <f t="shared" si="23"/>
        <v>0.51399999999999979</v>
      </c>
      <c r="Z79" s="1050">
        <f t="shared" ca="1" si="10"/>
        <v>4430</v>
      </c>
      <c r="AA79" s="1052">
        <f t="shared" ca="1" si="31"/>
        <v>0</v>
      </c>
      <c r="AB79" s="1053">
        <f t="shared" ca="1" si="27"/>
        <v>0</v>
      </c>
    </row>
    <row r="80" spans="2:28" x14ac:dyDescent="0.25">
      <c r="B80" s="1049">
        <f t="shared" ca="1" si="12"/>
        <v>8820.01</v>
      </c>
      <c r="C80" s="1050">
        <f t="shared" ca="1" si="13"/>
        <v>8960</v>
      </c>
      <c r="D80" s="1051">
        <f t="shared" si="14"/>
        <v>0.51099999999999979</v>
      </c>
      <c r="E80" s="1050">
        <f t="shared" ca="1" si="4"/>
        <v>4510</v>
      </c>
      <c r="F80" s="1052">
        <f t="shared" ca="1" si="28"/>
        <v>0</v>
      </c>
      <c r="G80" s="1053">
        <f t="shared" ca="1" si="24"/>
        <v>0</v>
      </c>
      <c r="I80" s="1049">
        <f t="shared" ca="1" si="15"/>
        <v>8820.01</v>
      </c>
      <c r="J80" s="1050">
        <f t="shared" ca="1" si="16"/>
        <v>8960</v>
      </c>
      <c r="K80" s="1051">
        <f t="shared" si="17"/>
        <v>0.51099999999999979</v>
      </c>
      <c r="L80" s="1050">
        <f t="shared" ca="1" si="6"/>
        <v>4510</v>
      </c>
      <c r="M80" s="1052">
        <f t="shared" ca="1" si="29"/>
        <v>0</v>
      </c>
      <c r="N80" s="1053">
        <f t="shared" ca="1" si="25"/>
        <v>0</v>
      </c>
      <c r="P80" s="1049">
        <f t="shared" ca="1" si="18"/>
        <v>8900.01</v>
      </c>
      <c r="Q80" s="1050">
        <f t="shared" ca="1" si="19"/>
        <v>9040</v>
      </c>
      <c r="R80" s="1051">
        <f t="shared" si="20"/>
        <v>0.51099999999999979</v>
      </c>
      <c r="S80" s="1050">
        <f t="shared" ca="1" si="8"/>
        <v>4550</v>
      </c>
      <c r="T80" s="1052">
        <f t="shared" ca="1" si="30"/>
        <v>0</v>
      </c>
      <c r="U80" s="1053">
        <f t="shared" ca="1" si="26"/>
        <v>0</v>
      </c>
      <c r="W80" s="1049">
        <f t="shared" ca="1" si="21"/>
        <v>8760.01</v>
      </c>
      <c r="X80" s="1050">
        <f t="shared" ca="1" si="22"/>
        <v>8900</v>
      </c>
      <c r="Y80" s="1051">
        <f t="shared" si="23"/>
        <v>0.51099999999999979</v>
      </c>
      <c r="Z80" s="1050">
        <f t="shared" ca="1" si="10"/>
        <v>4480</v>
      </c>
      <c r="AA80" s="1052">
        <f t="shared" ca="1" si="31"/>
        <v>0</v>
      </c>
      <c r="AB80" s="1053">
        <f t="shared" ca="1" si="27"/>
        <v>0</v>
      </c>
    </row>
    <row r="81" spans="2:28" x14ac:dyDescent="0.25">
      <c r="B81" s="1049">
        <f t="shared" ca="1" si="12"/>
        <v>8960.01</v>
      </c>
      <c r="C81" s="1050">
        <f t="shared" ca="1" si="13"/>
        <v>9100</v>
      </c>
      <c r="D81" s="1051">
        <f t="shared" si="14"/>
        <v>0.50799999999999979</v>
      </c>
      <c r="E81" s="1050">
        <f t="shared" ca="1" si="4"/>
        <v>4550</v>
      </c>
      <c r="F81" s="1052">
        <f t="shared" ref="F81:F116" ca="1" si="32">IF(AND($D$9&gt;=B81,$D$9&lt;=C81),1,0)</f>
        <v>0</v>
      </c>
      <c r="G81" s="1053">
        <f t="shared" ca="1" si="24"/>
        <v>0</v>
      </c>
      <c r="I81" s="1049">
        <f t="shared" ca="1" si="15"/>
        <v>8960.01</v>
      </c>
      <c r="J81" s="1050">
        <f t="shared" ca="1" si="16"/>
        <v>9100</v>
      </c>
      <c r="K81" s="1051">
        <f t="shared" si="17"/>
        <v>0.50799999999999979</v>
      </c>
      <c r="L81" s="1050">
        <f t="shared" ca="1" si="6"/>
        <v>4550</v>
      </c>
      <c r="M81" s="1052">
        <f t="shared" ref="M81:M116" ca="1" si="33">IF(AND($D$9&gt;=I81,$D$9&lt;=J81),1,0)</f>
        <v>0</v>
      </c>
      <c r="N81" s="1053">
        <f t="shared" ca="1" si="25"/>
        <v>0</v>
      </c>
      <c r="P81" s="1049">
        <f t="shared" ca="1" si="18"/>
        <v>9040.01</v>
      </c>
      <c r="Q81" s="1050">
        <f t="shared" ca="1" si="19"/>
        <v>9180</v>
      </c>
      <c r="R81" s="1051">
        <f t="shared" si="20"/>
        <v>0.50799999999999979</v>
      </c>
      <c r="S81" s="1050">
        <f t="shared" ca="1" si="8"/>
        <v>4590</v>
      </c>
      <c r="T81" s="1052">
        <f t="shared" ref="T81:T116" ca="1" si="34">IF(AND($D$9&gt;=P81,$D$9&lt;=Q81),1,0)</f>
        <v>0</v>
      </c>
      <c r="U81" s="1053">
        <f t="shared" ca="1" si="26"/>
        <v>0</v>
      </c>
      <c r="W81" s="1049">
        <f t="shared" ca="1" si="21"/>
        <v>8900.01</v>
      </c>
      <c r="X81" s="1050">
        <f t="shared" ca="1" si="22"/>
        <v>9040</v>
      </c>
      <c r="Y81" s="1051">
        <f t="shared" si="23"/>
        <v>0.50799999999999979</v>
      </c>
      <c r="Z81" s="1050">
        <f t="shared" ca="1" si="10"/>
        <v>4520</v>
      </c>
      <c r="AA81" s="1052">
        <f t="shared" ref="AA81:AA116" ca="1" si="35">IF(AND($D$9&gt;=W81,$D$9&lt;=X81),1,0)</f>
        <v>0</v>
      </c>
      <c r="AB81" s="1053">
        <f t="shared" ca="1" si="27"/>
        <v>0</v>
      </c>
    </row>
    <row r="82" spans="2:28" x14ac:dyDescent="0.25">
      <c r="B82" s="1049">
        <f t="shared" ca="1" si="12"/>
        <v>9100.01</v>
      </c>
      <c r="C82" s="1050">
        <f t="shared" ca="1" si="13"/>
        <v>9240</v>
      </c>
      <c r="D82" s="1051">
        <f t="shared" si="14"/>
        <v>0.50499999999999978</v>
      </c>
      <c r="E82" s="1050">
        <f t="shared" ref="E82:E117" ca="1" si="36">ROUND(B82*D82,-1)</f>
        <v>4600</v>
      </c>
      <c r="F82" s="1052">
        <f t="shared" ca="1" si="32"/>
        <v>0</v>
      </c>
      <c r="G82" s="1053">
        <f t="shared" ca="1" si="24"/>
        <v>0</v>
      </c>
      <c r="I82" s="1049">
        <f t="shared" ca="1" si="15"/>
        <v>9100.01</v>
      </c>
      <c r="J82" s="1050">
        <f t="shared" ca="1" si="16"/>
        <v>9240</v>
      </c>
      <c r="K82" s="1051">
        <f t="shared" si="17"/>
        <v>0.50499999999999978</v>
      </c>
      <c r="L82" s="1050">
        <f t="shared" ref="L82:L117" ca="1" si="37">ROUND(I82*K82,-1)</f>
        <v>4600</v>
      </c>
      <c r="M82" s="1052">
        <f t="shared" ca="1" si="33"/>
        <v>0</v>
      </c>
      <c r="N82" s="1053">
        <f t="shared" ca="1" si="25"/>
        <v>0</v>
      </c>
      <c r="P82" s="1049">
        <f t="shared" ca="1" si="18"/>
        <v>9180.01</v>
      </c>
      <c r="Q82" s="1050">
        <f t="shared" ca="1" si="19"/>
        <v>9320</v>
      </c>
      <c r="R82" s="1051">
        <f t="shared" si="20"/>
        <v>0.50499999999999978</v>
      </c>
      <c r="S82" s="1050">
        <f t="shared" ref="S82:S117" ca="1" si="38">ROUND(P82*R82,-1)</f>
        <v>4640</v>
      </c>
      <c r="T82" s="1052">
        <f t="shared" ca="1" si="34"/>
        <v>0</v>
      </c>
      <c r="U82" s="1053">
        <f t="shared" ca="1" si="26"/>
        <v>0</v>
      </c>
      <c r="W82" s="1049">
        <f t="shared" ca="1" si="21"/>
        <v>9040.01</v>
      </c>
      <c r="X82" s="1050">
        <f t="shared" ca="1" si="22"/>
        <v>9180</v>
      </c>
      <c r="Y82" s="1051">
        <f t="shared" si="23"/>
        <v>0.50499999999999978</v>
      </c>
      <c r="Z82" s="1050">
        <f t="shared" ref="Z82:Z117" ca="1" si="39">ROUND(W82*Y82,-1)</f>
        <v>4570</v>
      </c>
      <c r="AA82" s="1052">
        <f t="shared" ca="1" si="35"/>
        <v>0</v>
      </c>
      <c r="AB82" s="1053">
        <f t="shared" ca="1" si="27"/>
        <v>0</v>
      </c>
    </row>
    <row r="83" spans="2:28" x14ac:dyDescent="0.25">
      <c r="B83" s="1049">
        <f t="shared" ref="B83:B117" ca="1" si="40">C82+0.01</f>
        <v>9240.01</v>
      </c>
      <c r="C83" s="1050">
        <f t="shared" ref="C83:C116" ca="1" si="41">C82+$C$17</f>
        <v>9380</v>
      </c>
      <c r="D83" s="1051">
        <f t="shared" ref="D83:D117" si="42">D82-$D$16</f>
        <v>0.50199999999999978</v>
      </c>
      <c r="E83" s="1050">
        <f t="shared" ca="1" si="36"/>
        <v>4640</v>
      </c>
      <c r="F83" s="1052">
        <f t="shared" ca="1" si="32"/>
        <v>0</v>
      </c>
      <c r="G83" s="1053">
        <f t="shared" ca="1" si="24"/>
        <v>0</v>
      </c>
      <c r="I83" s="1049">
        <f t="shared" ref="I83:I117" ca="1" si="43">J82+0.01</f>
        <v>9240.01</v>
      </c>
      <c r="J83" s="1050">
        <f t="shared" ref="J83:J116" ca="1" si="44">J82+$C$17</f>
        <v>9380</v>
      </c>
      <c r="K83" s="1051">
        <f t="shared" ref="K83:K117" si="45">K82-$D$16</f>
        <v>0.50199999999999978</v>
      </c>
      <c r="L83" s="1050">
        <f t="shared" ca="1" si="37"/>
        <v>4640</v>
      </c>
      <c r="M83" s="1052">
        <f t="shared" ca="1" si="33"/>
        <v>0</v>
      </c>
      <c r="N83" s="1053">
        <f t="shared" ca="1" si="25"/>
        <v>0</v>
      </c>
      <c r="P83" s="1049">
        <f t="shared" ref="P83:P117" ca="1" si="46">Q82+0.01</f>
        <v>9320.01</v>
      </c>
      <c r="Q83" s="1050">
        <f t="shared" ref="Q83:Q116" ca="1" si="47">Q82+$C$17</f>
        <v>9460</v>
      </c>
      <c r="R83" s="1051">
        <f t="shared" ref="R83:R117" si="48">R82-$D$16</f>
        <v>0.50199999999999978</v>
      </c>
      <c r="S83" s="1050">
        <f t="shared" ca="1" si="38"/>
        <v>4680</v>
      </c>
      <c r="T83" s="1052">
        <f t="shared" ca="1" si="34"/>
        <v>0</v>
      </c>
      <c r="U83" s="1053">
        <f t="shared" ca="1" si="26"/>
        <v>0</v>
      </c>
      <c r="W83" s="1049">
        <f t="shared" ref="W83:W117" ca="1" si="49">X82+0.01</f>
        <v>9180.01</v>
      </c>
      <c r="X83" s="1050">
        <f t="shared" ref="X83:X116" ca="1" si="50">X82+$C$17</f>
        <v>9320</v>
      </c>
      <c r="Y83" s="1051">
        <f t="shared" ref="Y83:Y117" si="51">Y82-$D$16</f>
        <v>0.50199999999999978</v>
      </c>
      <c r="Z83" s="1050">
        <f t="shared" ca="1" si="39"/>
        <v>4610</v>
      </c>
      <c r="AA83" s="1052">
        <f t="shared" ca="1" si="35"/>
        <v>0</v>
      </c>
      <c r="AB83" s="1053">
        <f t="shared" ca="1" si="27"/>
        <v>0</v>
      </c>
    </row>
    <row r="84" spans="2:28" x14ac:dyDescent="0.25">
      <c r="B84" s="1049">
        <f t="shared" ca="1" si="40"/>
        <v>9380.01</v>
      </c>
      <c r="C84" s="1050">
        <f t="shared" ca="1" si="41"/>
        <v>9520</v>
      </c>
      <c r="D84" s="1051">
        <f t="shared" si="42"/>
        <v>0.49899999999999978</v>
      </c>
      <c r="E84" s="1050">
        <f t="shared" ca="1" si="36"/>
        <v>4680</v>
      </c>
      <c r="F84" s="1052">
        <f t="shared" ca="1" si="32"/>
        <v>0</v>
      </c>
      <c r="G84" s="1053">
        <f t="shared" ca="1" si="24"/>
        <v>0</v>
      </c>
      <c r="I84" s="1049">
        <f t="shared" ca="1" si="43"/>
        <v>9380.01</v>
      </c>
      <c r="J84" s="1050">
        <f t="shared" ca="1" si="44"/>
        <v>9520</v>
      </c>
      <c r="K84" s="1051">
        <f t="shared" si="45"/>
        <v>0.49899999999999978</v>
      </c>
      <c r="L84" s="1050">
        <f t="shared" ca="1" si="37"/>
        <v>4680</v>
      </c>
      <c r="M84" s="1052">
        <f t="shared" ca="1" si="33"/>
        <v>0</v>
      </c>
      <c r="N84" s="1053">
        <f t="shared" ca="1" si="25"/>
        <v>0</v>
      </c>
      <c r="P84" s="1049">
        <f t="shared" ca="1" si="46"/>
        <v>9460.01</v>
      </c>
      <c r="Q84" s="1050">
        <f t="shared" ca="1" si="47"/>
        <v>9600</v>
      </c>
      <c r="R84" s="1051">
        <f t="shared" si="48"/>
        <v>0.49899999999999978</v>
      </c>
      <c r="S84" s="1050">
        <f t="shared" ca="1" si="38"/>
        <v>4720</v>
      </c>
      <c r="T84" s="1052">
        <f t="shared" ca="1" si="34"/>
        <v>0</v>
      </c>
      <c r="U84" s="1053">
        <f t="shared" ca="1" si="26"/>
        <v>0</v>
      </c>
      <c r="W84" s="1049">
        <f t="shared" ca="1" si="49"/>
        <v>9320.01</v>
      </c>
      <c r="X84" s="1050">
        <f t="shared" ca="1" si="50"/>
        <v>9460</v>
      </c>
      <c r="Y84" s="1051">
        <f t="shared" si="51"/>
        <v>0.49899999999999978</v>
      </c>
      <c r="Z84" s="1050">
        <f t="shared" ca="1" si="39"/>
        <v>4650</v>
      </c>
      <c r="AA84" s="1052">
        <f t="shared" ca="1" si="35"/>
        <v>0</v>
      </c>
      <c r="AB84" s="1053">
        <f t="shared" ca="1" si="27"/>
        <v>0</v>
      </c>
    </row>
    <row r="85" spans="2:28" x14ac:dyDescent="0.25">
      <c r="B85" s="1049">
        <f t="shared" ca="1" si="40"/>
        <v>9520.01</v>
      </c>
      <c r="C85" s="1050">
        <f t="shared" ca="1" si="41"/>
        <v>9660</v>
      </c>
      <c r="D85" s="1051">
        <f t="shared" si="42"/>
        <v>0.49599999999999977</v>
      </c>
      <c r="E85" s="1050">
        <f t="shared" ca="1" si="36"/>
        <v>4720</v>
      </c>
      <c r="F85" s="1052">
        <f t="shared" ca="1" si="32"/>
        <v>0</v>
      </c>
      <c r="G85" s="1053">
        <f t="shared" ca="1" si="24"/>
        <v>0</v>
      </c>
      <c r="I85" s="1049">
        <f t="shared" ca="1" si="43"/>
        <v>9520.01</v>
      </c>
      <c r="J85" s="1050">
        <f t="shared" ca="1" si="44"/>
        <v>9660</v>
      </c>
      <c r="K85" s="1051">
        <f t="shared" si="45"/>
        <v>0.49599999999999977</v>
      </c>
      <c r="L85" s="1050">
        <f t="shared" ca="1" si="37"/>
        <v>4720</v>
      </c>
      <c r="M85" s="1052">
        <f t="shared" ca="1" si="33"/>
        <v>0</v>
      </c>
      <c r="N85" s="1053">
        <f t="shared" ca="1" si="25"/>
        <v>0</v>
      </c>
      <c r="P85" s="1049">
        <f t="shared" ca="1" si="46"/>
        <v>9600.01</v>
      </c>
      <c r="Q85" s="1050">
        <f t="shared" ca="1" si="47"/>
        <v>9740</v>
      </c>
      <c r="R85" s="1051">
        <f t="shared" si="48"/>
        <v>0.49599999999999977</v>
      </c>
      <c r="S85" s="1050">
        <f t="shared" ca="1" si="38"/>
        <v>4760</v>
      </c>
      <c r="T85" s="1052">
        <f t="shared" ca="1" si="34"/>
        <v>0</v>
      </c>
      <c r="U85" s="1053">
        <f t="shared" ca="1" si="26"/>
        <v>0</v>
      </c>
      <c r="W85" s="1049">
        <f t="shared" ca="1" si="49"/>
        <v>9460.01</v>
      </c>
      <c r="X85" s="1050">
        <f t="shared" ca="1" si="50"/>
        <v>9600</v>
      </c>
      <c r="Y85" s="1051">
        <f t="shared" si="51"/>
        <v>0.49599999999999977</v>
      </c>
      <c r="Z85" s="1050">
        <f t="shared" ca="1" si="39"/>
        <v>4690</v>
      </c>
      <c r="AA85" s="1052">
        <f t="shared" ca="1" si="35"/>
        <v>0</v>
      </c>
      <c r="AB85" s="1053">
        <f t="shared" ca="1" si="27"/>
        <v>0</v>
      </c>
    </row>
    <row r="86" spans="2:28" x14ac:dyDescent="0.25">
      <c r="B86" s="1049">
        <f t="shared" ca="1" si="40"/>
        <v>9660.01</v>
      </c>
      <c r="C86" s="1050">
        <f t="shared" ca="1" si="41"/>
        <v>9800</v>
      </c>
      <c r="D86" s="1051">
        <f t="shared" si="42"/>
        <v>0.49299999999999977</v>
      </c>
      <c r="E86" s="1050">
        <f t="shared" ca="1" si="36"/>
        <v>4760</v>
      </c>
      <c r="F86" s="1052">
        <f t="shared" ca="1" si="32"/>
        <v>0</v>
      </c>
      <c r="G86" s="1053">
        <f t="shared" ca="1" si="24"/>
        <v>0</v>
      </c>
      <c r="I86" s="1049">
        <f t="shared" ca="1" si="43"/>
        <v>9660.01</v>
      </c>
      <c r="J86" s="1050">
        <f t="shared" ca="1" si="44"/>
        <v>9800</v>
      </c>
      <c r="K86" s="1051">
        <f t="shared" si="45"/>
        <v>0.49299999999999977</v>
      </c>
      <c r="L86" s="1050">
        <f t="shared" ca="1" si="37"/>
        <v>4760</v>
      </c>
      <c r="M86" s="1052">
        <f t="shared" ca="1" si="33"/>
        <v>0</v>
      </c>
      <c r="N86" s="1053">
        <f t="shared" ca="1" si="25"/>
        <v>0</v>
      </c>
      <c r="P86" s="1049">
        <f t="shared" ca="1" si="46"/>
        <v>9740.01</v>
      </c>
      <c r="Q86" s="1050">
        <f t="shared" ca="1" si="47"/>
        <v>9880</v>
      </c>
      <c r="R86" s="1051">
        <f t="shared" si="48"/>
        <v>0.49299999999999977</v>
      </c>
      <c r="S86" s="1050">
        <f t="shared" ca="1" si="38"/>
        <v>4800</v>
      </c>
      <c r="T86" s="1052">
        <f t="shared" ca="1" si="34"/>
        <v>0</v>
      </c>
      <c r="U86" s="1053">
        <f t="shared" ca="1" si="26"/>
        <v>0</v>
      </c>
      <c r="W86" s="1049">
        <f t="shared" ca="1" si="49"/>
        <v>9600.01</v>
      </c>
      <c r="X86" s="1050">
        <f t="shared" ca="1" si="50"/>
        <v>9740</v>
      </c>
      <c r="Y86" s="1051">
        <f t="shared" si="51"/>
        <v>0.49299999999999977</v>
      </c>
      <c r="Z86" s="1050">
        <f t="shared" ca="1" si="39"/>
        <v>4730</v>
      </c>
      <c r="AA86" s="1052">
        <f t="shared" ca="1" si="35"/>
        <v>0</v>
      </c>
      <c r="AB86" s="1053">
        <f t="shared" ca="1" si="27"/>
        <v>0</v>
      </c>
    </row>
    <row r="87" spans="2:28" x14ac:dyDescent="0.25">
      <c r="B87" s="1049">
        <f t="shared" ca="1" si="40"/>
        <v>9800.01</v>
      </c>
      <c r="C87" s="1050">
        <f t="shared" ca="1" si="41"/>
        <v>9940</v>
      </c>
      <c r="D87" s="1051">
        <f t="shared" si="42"/>
        <v>0.48999999999999977</v>
      </c>
      <c r="E87" s="1050">
        <f t="shared" ca="1" si="36"/>
        <v>4800</v>
      </c>
      <c r="F87" s="1052">
        <f t="shared" ca="1" si="32"/>
        <v>0</v>
      </c>
      <c r="G87" s="1053">
        <f t="shared" ref="G87:G117" ca="1" si="52">E87*F87</f>
        <v>0</v>
      </c>
      <c r="I87" s="1049">
        <f t="shared" ca="1" si="43"/>
        <v>9800.01</v>
      </c>
      <c r="J87" s="1050">
        <f t="shared" ca="1" si="44"/>
        <v>9940</v>
      </c>
      <c r="K87" s="1051">
        <f t="shared" si="45"/>
        <v>0.48999999999999977</v>
      </c>
      <c r="L87" s="1050">
        <f t="shared" ca="1" si="37"/>
        <v>4800</v>
      </c>
      <c r="M87" s="1052">
        <f t="shared" ca="1" si="33"/>
        <v>0</v>
      </c>
      <c r="N87" s="1053">
        <f t="shared" ref="N87:N117" ca="1" si="53">L87*M87</f>
        <v>0</v>
      </c>
      <c r="P87" s="1049">
        <f t="shared" ca="1" si="46"/>
        <v>9880.01</v>
      </c>
      <c r="Q87" s="1050">
        <f t="shared" ca="1" si="47"/>
        <v>10020</v>
      </c>
      <c r="R87" s="1051">
        <f t="shared" si="48"/>
        <v>0.48999999999999977</v>
      </c>
      <c r="S87" s="1050">
        <f t="shared" ca="1" si="38"/>
        <v>4840</v>
      </c>
      <c r="T87" s="1052">
        <f t="shared" ca="1" si="34"/>
        <v>0</v>
      </c>
      <c r="U87" s="1053">
        <f t="shared" ref="U87:U117" ca="1" si="54">S87*T87</f>
        <v>0</v>
      </c>
      <c r="W87" s="1049">
        <f t="shared" ca="1" si="49"/>
        <v>9740.01</v>
      </c>
      <c r="X87" s="1050">
        <f t="shared" ca="1" si="50"/>
        <v>9880</v>
      </c>
      <c r="Y87" s="1051">
        <f t="shared" si="51"/>
        <v>0.48999999999999977</v>
      </c>
      <c r="Z87" s="1050">
        <f t="shared" ca="1" si="39"/>
        <v>4770</v>
      </c>
      <c r="AA87" s="1052">
        <f t="shared" ca="1" si="35"/>
        <v>0</v>
      </c>
      <c r="AB87" s="1053">
        <f t="shared" ref="AB87:AB117" ca="1" si="55">Z87*AA87</f>
        <v>0</v>
      </c>
    </row>
    <row r="88" spans="2:28" x14ac:dyDescent="0.25">
      <c r="B88" s="1049">
        <f t="shared" ca="1" si="40"/>
        <v>9940.01</v>
      </c>
      <c r="C88" s="1050">
        <f t="shared" ca="1" si="41"/>
        <v>10080</v>
      </c>
      <c r="D88" s="1051">
        <f t="shared" si="42"/>
        <v>0.48699999999999977</v>
      </c>
      <c r="E88" s="1050">
        <f t="shared" ca="1" si="36"/>
        <v>4840</v>
      </c>
      <c r="F88" s="1052">
        <f t="shared" ca="1" si="32"/>
        <v>0</v>
      </c>
      <c r="G88" s="1053">
        <f t="shared" ca="1" si="52"/>
        <v>0</v>
      </c>
      <c r="I88" s="1049">
        <f t="shared" ca="1" si="43"/>
        <v>9940.01</v>
      </c>
      <c r="J88" s="1050">
        <f t="shared" ca="1" si="44"/>
        <v>10080</v>
      </c>
      <c r="K88" s="1051">
        <f t="shared" si="45"/>
        <v>0.48699999999999977</v>
      </c>
      <c r="L88" s="1050">
        <f t="shared" ca="1" si="37"/>
        <v>4840</v>
      </c>
      <c r="M88" s="1052">
        <f t="shared" ca="1" si="33"/>
        <v>0</v>
      </c>
      <c r="N88" s="1053">
        <f t="shared" ca="1" si="53"/>
        <v>0</v>
      </c>
      <c r="P88" s="1049">
        <f t="shared" ca="1" si="46"/>
        <v>10020.01</v>
      </c>
      <c r="Q88" s="1050">
        <f t="shared" ca="1" si="47"/>
        <v>10160</v>
      </c>
      <c r="R88" s="1051">
        <f t="shared" si="48"/>
        <v>0.48699999999999977</v>
      </c>
      <c r="S88" s="1050">
        <f t="shared" ca="1" si="38"/>
        <v>4880</v>
      </c>
      <c r="T88" s="1052">
        <f t="shared" ca="1" si="34"/>
        <v>0</v>
      </c>
      <c r="U88" s="1053">
        <f t="shared" ca="1" si="54"/>
        <v>0</v>
      </c>
      <c r="W88" s="1049">
        <f t="shared" ca="1" si="49"/>
        <v>9880.01</v>
      </c>
      <c r="X88" s="1050">
        <f t="shared" ca="1" si="50"/>
        <v>10020</v>
      </c>
      <c r="Y88" s="1051">
        <f t="shared" si="51"/>
        <v>0.48699999999999977</v>
      </c>
      <c r="Z88" s="1050">
        <f t="shared" ca="1" si="39"/>
        <v>4810</v>
      </c>
      <c r="AA88" s="1052">
        <f t="shared" ca="1" si="35"/>
        <v>0</v>
      </c>
      <c r="AB88" s="1053">
        <f t="shared" ca="1" si="55"/>
        <v>0</v>
      </c>
    </row>
    <row r="89" spans="2:28" x14ac:dyDescent="0.25">
      <c r="B89" s="1049">
        <f t="shared" ca="1" si="40"/>
        <v>10080.01</v>
      </c>
      <c r="C89" s="1050">
        <f t="shared" ca="1" si="41"/>
        <v>10220</v>
      </c>
      <c r="D89" s="1051">
        <f t="shared" si="42"/>
        <v>0.48399999999999976</v>
      </c>
      <c r="E89" s="1050">
        <f t="shared" ca="1" si="36"/>
        <v>4880</v>
      </c>
      <c r="F89" s="1052">
        <f t="shared" ca="1" si="32"/>
        <v>0</v>
      </c>
      <c r="G89" s="1053">
        <f t="shared" ca="1" si="52"/>
        <v>0</v>
      </c>
      <c r="I89" s="1049">
        <f t="shared" ca="1" si="43"/>
        <v>10080.01</v>
      </c>
      <c r="J89" s="1050">
        <f t="shared" ca="1" si="44"/>
        <v>10220</v>
      </c>
      <c r="K89" s="1051">
        <f t="shared" si="45"/>
        <v>0.48399999999999976</v>
      </c>
      <c r="L89" s="1050">
        <f t="shared" ca="1" si="37"/>
        <v>4880</v>
      </c>
      <c r="M89" s="1052">
        <f t="shared" ca="1" si="33"/>
        <v>0</v>
      </c>
      <c r="N89" s="1053">
        <f t="shared" ca="1" si="53"/>
        <v>0</v>
      </c>
      <c r="P89" s="1049">
        <f t="shared" ca="1" si="46"/>
        <v>10160.01</v>
      </c>
      <c r="Q89" s="1050">
        <f t="shared" ca="1" si="47"/>
        <v>10300</v>
      </c>
      <c r="R89" s="1051">
        <f t="shared" si="48"/>
        <v>0.48399999999999976</v>
      </c>
      <c r="S89" s="1050">
        <f t="shared" ca="1" si="38"/>
        <v>4920</v>
      </c>
      <c r="T89" s="1052">
        <f t="shared" ca="1" si="34"/>
        <v>0</v>
      </c>
      <c r="U89" s="1053">
        <f t="shared" ca="1" si="54"/>
        <v>0</v>
      </c>
      <c r="W89" s="1049">
        <f t="shared" ca="1" si="49"/>
        <v>10020.01</v>
      </c>
      <c r="X89" s="1050">
        <f t="shared" ca="1" si="50"/>
        <v>10160</v>
      </c>
      <c r="Y89" s="1051">
        <f t="shared" si="51"/>
        <v>0.48399999999999976</v>
      </c>
      <c r="Z89" s="1050">
        <f t="shared" ca="1" si="39"/>
        <v>4850</v>
      </c>
      <c r="AA89" s="1052">
        <f t="shared" ca="1" si="35"/>
        <v>0</v>
      </c>
      <c r="AB89" s="1053">
        <f t="shared" ca="1" si="55"/>
        <v>0</v>
      </c>
    </row>
    <row r="90" spans="2:28" x14ac:dyDescent="0.25">
      <c r="B90" s="1049">
        <f t="shared" ca="1" si="40"/>
        <v>10220.01</v>
      </c>
      <c r="C90" s="1050">
        <f t="shared" ca="1" si="41"/>
        <v>10360</v>
      </c>
      <c r="D90" s="1051">
        <f t="shared" si="42"/>
        <v>0.48099999999999976</v>
      </c>
      <c r="E90" s="1050">
        <f t="shared" ca="1" si="36"/>
        <v>4920</v>
      </c>
      <c r="F90" s="1052">
        <f t="shared" ca="1" si="32"/>
        <v>0</v>
      </c>
      <c r="G90" s="1053">
        <f t="shared" ca="1" si="52"/>
        <v>0</v>
      </c>
      <c r="I90" s="1049">
        <f t="shared" ca="1" si="43"/>
        <v>10220.01</v>
      </c>
      <c r="J90" s="1050">
        <f t="shared" ca="1" si="44"/>
        <v>10360</v>
      </c>
      <c r="K90" s="1051">
        <f t="shared" si="45"/>
        <v>0.48099999999999976</v>
      </c>
      <c r="L90" s="1050">
        <f t="shared" ca="1" si="37"/>
        <v>4920</v>
      </c>
      <c r="M90" s="1052">
        <f t="shared" ca="1" si="33"/>
        <v>0</v>
      </c>
      <c r="N90" s="1053">
        <f t="shared" ca="1" si="53"/>
        <v>0</v>
      </c>
      <c r="P90" s="1049">
        <f t="shared" ca="1" si="46"/>
        <v>10300.01</v>
      </c>
      <c r="Q90" s="1050">
        <f t="shared" ca="1" si="47"/>
        <v>10440</v>
      </c>
      <c r="R90" s="1051">
        <f t="shared" si="48"/>
        <v>0.48099999999999976</v>
      </c>
      <c r="S90" s="1050">
        <f t="shared" ca="1" si="38"/>
        <v>4950</v>
      </c>
      <c r="T90" s="1052">
        <f t="shared" ca="1" si="34"/>
        <v>0</v>
      </c>
      <c r="U90" s="1053">
        <f t="shared" ca="1" si="54"/>
        <v>0</v>
      </c>
      <c r="W90" s="1049">
        <f t="shared" ca="1" si="49"/>
        <v>10160.01</v>
      </c>
      <c r="X90" s="1050">
        <f t="shared" ca="1" si="50"/>
        <v>10300</v>
      </c>
      <c r="Y90" s="1051">
        <f t="shared" si="51"/>
        <v>0.48099999999999976</v>
      </c>
      <c r="Z90" s="1050">
        <f t="shared" ca="1" si="39"/>
        <v>4890</v>
      </c>
      <c r="AA90" s="1052">
        <f t="shared" ca="1" si="35"/>
        <v>0</v>
      </c>
      <c r="AB90" s="1053">
        <f t="shared" ca="1" si="55"/>
        <v>0</v>
      </c>
    </row>
    <row r="91" spans="2:28" x14ac:dyDescent="0.25">
      <c r="B91" s="1049">
        <f t="shared" ca="1" si="40"/>
        <v>10360.01</v>
      </c>
      <c r="C91" s="1050">
        <f t="shared" ca="1" si="41"/>
        <v>10500</v>
      </c>
      <c r="D91" s="1051">
        <f t="shared" si="42"/>
        <v>0.47799999999999976</v>
      </c>
      <c r="E91" s="1050">
        <f t="shared" ca="1" si="36"/>
        <v>4950</v>
      </c>
      <c r="F91" s="1052">
        <f t="shared" ca="1" si="32"/>
        <v>0</v>
      </c>
      <c r="G91" s="1053">
        <f t="shared" ca="1" si="52"/>
        <v>0</v>
      </c>
      <c r="I91" s="1049">
        <f t="shared" ca="1" si="43"/>
        <v>10360.01</v>
      </c>
      <c r="J91" s="1050">
        <f t="shared" ca="1" si="44"/>
        <v>10500</v>
      </c>
      <c r="K91" s="1051">
        <f t="shared" si="45"/>
        <v>0.47799999999999976</v>
      </c>
      <c r="L91" s="1050">
        <f t="shared" ca="1" si="37"/>
        <v>4950</v>
      </c>
      <c r="M91" s="1052">
        <f t="shared" ca="1" si="33"/>
        <v>0</v>
      </c>
      <c r="N91" s="1053">
        <f t="shared" ca="1" si="53"/>
        <v>0</v>
      </c>
      <c r="P91" s="1049">
        <f t="shared" ca="1" si="46"/>
        <v>10440.01</v>
      </c>
      <c r="Q91" s="1050">
        <f t="shared" ca="1" si="47"/>
        <v>10580</v>
      </c>
      <c r="R91" s="1051">
        <f t="shared" si="48"/>
        <v>0.47799999999999976</v>
      </c>
      <c r="S91" s="1050">
        <f t="shared" ca="1" si="38"/>
        <v>4990</v>
      </c>
      <c r="T91" s="1052">
        <f t="shared" ca="1" si="34"/>
        <v>0</v>
      </c>
      <c r="U91" s="1053">
        <f t="shared" ca="1" si="54"/>
        <v>0</v>
      </c>
      <c r="W91" s="1049">
        <f t="shared" ca="1" si="49"/>
        <v>10300.01</v>
      </c>
      <c r="X91" s="1050">
        <f t="shared" ca="1" si="50"/>
        <v>10440</v>
      </c>
      <c r="Y91" s="1051">
        <f t="shared" si="51"/>
        <v>0.47799999999999976</v>
      </c>
      <c r="Z91" s="1050">
        <f t="shared" ca="1" si="39"/>
        <v>4920</v>
      </c>
      <c r="AA91" s="1052">
        <f t="shared" ca="1" si="35"/>
        <v>0</v>
      </c>
      <c r="AB91" s="1053">
        <f t="shared" ca="1" si="55"/>
        <v>0</v>
      </c>
    </row>
    <row r="92" spans="2:28" x14ac:dyDescent="0.25">
      <c r="B92" s="1049">
        <f t="shared" ca="1" si="40"/>
        <v>10500.01</v>
      </c>
      <c r="C92" s="1050">
        <f t="shared" ca="1" si="41"/>
        <v>10640</v>
      </c>
      <c r="D92" s="1051">
        <f t="shared" si="42"/>
        <v>0.47499999999999976</v>
      </c>
      <c r="E92" s="1050">
        <f t="shared" ca="1" si="36"/>
        <v>4990</v>
      </c>
      <c r="F92" s="1052">
        <f t="shared" ca="1" si="32"/>
        <v>0</v>
      </c>
      <c r="G92" s="1053">
        <f t="shared" ca="1" si="52"/>
        <v>0</v>
      </c>
      <c r="I92" s="1049">
        <f t="shared" ca="1" si="43"/>
        <v>10500.01</v>
      </c>
      <c r="J92" s="1050">
        <f t="shared" ca="1" si="44"/>
        <v>10640</v>
      </c>
      <c r="K92" s="1051">
        <f t="shared" si="45"/>
        <v>0.47499999999999976</v>
      </c>
      <c r="L92" s="1050">
        <f t="shared" ca="1" si="37"/>
        <v>4990</v>
      </c>
      <c r="M92" s="1052">
        <f t="shared" ca="1" si="33"/>
        <v>0</v>
      </c>
      <c r="N92" s="1053">
        <f t="shared" ca="1" si="53"/>
        <v>0</v>
      </c>
      <c r="P92" s="1049">
        <f t="shared" ca="1" si="46"/>
        <v>10580.01</v>
      </c>
      <c r="Q92" s="1050">
        <f t="shared" ca="1" si="47"/>
        <v>10720</v>
      </c>
      <c r="R92" s="1051">
        <f t="shared" si="48"/>
        <v>0.47499999999999976</v>
      </c>
      <c r="S92" s="1050">
        <f t="shared" ca="1" si="38"/>
        <v>5030</v>
      </c>
      <c r="T92" s="1052">
        <f t="shared" ca="1" si="34"/>
        <v>0</v>
      </c>
      <c r="U92" s="1053">
        <f t="shared" ca="1" si="54"/>
        <v>0</v>
      </c>
      <c r="W92" s="1049">
        <f t="shared" ca="1" si="49"/>
        <v>10440.01</v>
      </c>
      <c r="X92" s="1050">
        <f t="shared" ca="1" si="50"/>
        <v>10580</v>
      </c>
      <c r="Y92" s="1051">
        <f t="shared" si="51"/>
        <v>0.47499999999999976</v>
      </c>
      <c r="Z92" s="1050">
        <f t="shared" ca="1" si="39"/>
        <v>4960</v>
      </c>
      <c r="AA92" s="1052">
        <f t="shared" ca="1" si="35"/>
        <v>0</v>
      </c>
      <c r="AB92" s="1053">
        <f t="shared" ca="1" si="55"/>
        <v>0</v>
      </c>
    </row>
    <row r="93" spans="2:28" x14ac:dyDescent="0.25">
      <c r="B93" s="1049">
        <f t="shared" ca="1" si="40"/>
        <v>10640.01</v>
      </c>
      <c r="C93" s="1050">
        <f t="shared" ca="1" si="41"/>
        <v>10780</v>
      </c>
      <c r="D93" s="1051">
        <f t="shared" si="42"/>
        <v>0.47199999999999975</v>
      </c>
      <c r="E93" s="1050">
        <f t="shared" ca="1" si="36"/>
        <v>5020</v>
      </c>
      <c r="F93" s="1052">
        <f t="shared" ca="1" si="32"/>
        <v>0</v>
      </c>
      <c r="G93" s="1053">
        <f t="shared" ca="1" si="52"/>
        <v>0</v>
      </c>
      <c r="I93" s="1049">
        <f t="shared" ca="1" si="43"/>
        <v>10640.01</v>
      </c>
      <c r="J93" s="1050">
        <f t="shared" ca="1" si="44"/>
        <v>10780</v>
      </c>
      <c r="K93" s="1051">
        <f t="shared" si="45"/>
        <v>0.47199999999999975</v>
      </c>
      <c r="L93" s="1050">
        <f t="shared" ca="1" si="37"/>
        <v>5020</v>
      </c>
      <c r="M93" s="1052">
        <f t="shared" ca="1" si="33"/>
        <v>0</v>
      </c>
      <c r="N93" s="1053">
        <f t="shared" ca="1" si="53"/>
        <v>0</v>
      </c>
      <c r="P93" s="1049">
        <f t="shared" ca="1" si="46"/>
        <v>10720.01</v>
      </c>
      <c r="Q93" s="1050">
        <f t="shared" ca="1" si="47"/>
        <v>10860</v>
      </c>
      <c r="R93" s="1051">
        <f t="shared" si="48"/>
        <v>0.47199999999999975</v>
      </c>
      <c r="S93" s="1050">
        <f t="shared" ca="1" si="38"/>
        <v>5060</v>
      </c>
      <c r="T93" s="1052">
        <f t="shared" ca="1" si="34"/>
        <v>0</v>
      </c>
      <c r="U93" s="1053">
        <f t="shared" ca="1" si="54"/>
        <v>0</v>
      </c>
      <c r="W93" s="1049">
        <f t="shared" ca="1" si="49"/>
        <v>10580.01</v>
      </c>
      <c r="X93" s="1050">
        <f t="shared" ca="1" si="50"/>
        <v>10720</v>
      </c>
      <c r="Y93" s="1051">
        <f t="shared" si="51"/>
        <v>0.47199999999999975</v>
      </c>
      <c r="Z93" s="1050">
        <f t="shared" ca="1" si="39"/>
        <v>4990</v>
      </c>
      <c r="AA93" s="1052">
        <f t="shared" ca="1" si="35"/>
        <v>0</v>
      </c>
      <c r="AB93" s="1053">
        <f t="shared" ca="1" si="55"/>
        <v>0</v>
      </c>
    </row>
    <row r="94" spans="2:28" x14ac:dyDescent="0.25">
      <c r="B94" s="1049">
        <f t="shared" ca="1" si="40"/>
        <v>10780.01</v>
      </c>
      <c r="C94" s="1050">
        <f t="shared" ca="1" si="41"/>
        <v>10920</v>
      </c>
      <c r="D94" s="1051">
        <f t="shared" si="42"/>
        <v>0.46899999999999975</v>
      </c>
      <c r="E94" s="1050">
        <f t="shared" ca="1" si="36"/>
        <v>5060</v>
      </c>
      <c r="F94" s="1052">
        <f t="shared" ca="1" si="32"/>
        <v>0</v>
      </c>
      <c r="G94" s="1053">
        <f t="shared" ca="1" si="52"/>
        <v>0</v>
      </c>
      <c r="I94" s="1049">
        <f t="shared" ca="1" si="43"/>
        <v>10780.01</v>
      </c>
      <c r="J94" s="1050">
        <f t="shared" ca="1" si="44"/>
        <v>10920</v>
      </c>
      <c r="K94" s="1051">
        <f t="shared" si="45"/>
        <v>0.46899999999999975</v>
      </c>
      <c r="L94" s="1050">
        <f t="shared" ca="1" si="37"/>
        <v>5060</v>
      </c>
      <c r="M94" s="1052">
        <f t="shared" ca="1" si="33"/>
        <v>0</v>
      </c>
      <c r="N94" s="1053">
        <f t="shared" ca="1" si="53"/>
        <v>0</v>
      </c>
      <c r="P94" s="1049">
        <f t="shared" ca="1" si="46"/>
        <v>10860.01</v>
      </c>
      <c r="Q94" s="1050">
        <f t="shared" ca="1" si="47"/>
        <v>11000</v>
      </c>
      <c r="R94" s="1051">
        <f t="shared" si="48"/>
        <v>0.46899999999999975</v>
      </c>
      <c r="S94" s="1050">
        <f t="shared" ca="1" si="38"/>
        <v>5090</v>
      </c>
      <c r="T94" s="1052">
        <f t="shared" ca="1" si="34"/>
        <v>0</v>
      </c>
      <c r="U94" s="1053">
        <f t="shared" ca="1" si="54"/>
        <v>0</v>
      </c>
      <c r="W94" s="1049">
        <f t="shared" ca="1" si="49"/>
        <v>10720.01</v>
      </c>
      <c r="X94" s="1050">
        <f t="shared" ca="1" si="50"/>
        <v>10860</v>
      </c>
      <c r="Y94" s="1051">
        <f t="shared" si="51"/>
        <v>0.46899999999999975</v>
      </c>
      <c r="Z94" s="1050">
        <f t="shared" ca="1" si="39"/>
        <v>5030</v>
      </c>
      <c r="AA94" s="1052">
        <f t="shared" ca="1" si="35"/>
        <v>0</v>
      </c>
      <c r="AB94" s="1053">
        <f t="shared" ca="1" si="55"/>
        <v>0</v>
      </c>
    </row>
    <row r="95" spans="2:28" x14ac:dyDescent="0.25">
      <c r="B95" s="1049">
        <f t="shared" ca="1" si="40"/>
        <v>10920.01</v>
      </c>
      <c r="C95" s="1050">
        <f t="shared" ca="1" si="41"/>
        <v>11060</v>
      </c>
      <c r="D95" s="1051">
        <f t="shared" si="42"/>
        <v>0.46599999999999975</v>
      </c>
      <c r="E95" s="1050">
        <f t="shared" ca="1" si="36"/>
        <v>5090</v>
      </c>
      <c r="F95" s="1052">
        <f t="shared" ca="1" si="32"/>
        <v>0</v>
      </c>
      <c r="G95" s="1053">
        <f t="shared" ca="1" si="52"/>
        <v>0</v>
      </c>
      <c r="I95" s="1049">
        <f t="shared" ca="1" si="43"/>
        <v>10920.01</v>
      </c>
      <c r="J95" s="1050">
        <f t="shared" ca="1" si="44"/>
        <v>11060</v>
      </c>
      <c r="K95" s="1051">
        <f t="shared" si="45"/>
        <v>0.46599999999999975</v>
      </c>
      <c r="L95" s="1050">
        <f t="shared" ca="1" si="37"/>
        <v>5090</v>
      </c>
      <c r="M95" s="1052">
        <f t="shared" ca="1" si="33"/>
        <v>0</v>
      </c>
      <c r="N95" s="1053">
        <f t="shared" ca="1" si="53"/>
        <v>0</v>
      </c>
      <c r="P95" s="1049">
        <f t="shared" ca="1" si="46"/>
        <v>11000.01</v>
      </c>
      <c r="Q95" s="1050">
        <f t="shared" ca="1" si="47"/>
        <v>11140</v>
      </c>
      <c r="R95" s="1051">
        <f t="shared" si="48"/>
        <v>0.46599999999999975</v>
      </c>
      <c r="S95" s="1050">
        <f t="shared" ca="1" si="38"/>
        <v>5130</v>
      </c>
      <c r="T95" s="1052">
        <f t="shared" ca="1" si="34"/>
        <v>0</v>
      </c>
      <c r="U95" s="1053">
        <f t="shared" ca="1" si="54"/>
        <v>0</v>
      </c>
      <c r="W95" s="1049">
        <f t="shared" ca="1" si="49"/>
        <v>10860.01</v>
      </c>
      <c r="X95" s="1050">
        <f t="shared" ca="1" si="50"/>
        <v>11000</v>
      </c>
      <c r="Y95" s="1051">
        <f t="shared" si="51"/>
        <v>0.46599999999999975</v>
      </c>
      <c r="Z95" s="1050">
        <f t="shared" ca="1" si="39"/>
        <v>5060</v>
      </c>
      <c r="AA95" s="1052">
        <f t="shared" ca="1" si="35"/>
        <v>0</v>
      </c>
      <c r="AB95" s="1053">
        <f t="shared" ca="1" si="55"/>
        <v>0</v>
      </c>
    </row>
    <row r="96" spans="2:28" x14ac:dyDescent="0.25">
      <c r="B96" s="1049">
        <f t="shared" ca="1" si="40"/>
        <v>11060.01</v>
      </c>
      <c r="C96" s="1050">
        <f t="shared" ca="1" si="41"/>
        <v>11200</v>
      </c>
      <c r="D96" s="1051">
        <f t="shared" si="42"/>
        <v>0.46299999999999975</v>
      </c>
      <c r="E96" s="1050">
        <f t="shared" ca="1" si="36"/>
        <v>5120</v>
      </c>
      <c r="F96" s="1052">
        <f t="shared" ca="1" si="32"/>
        <v>0</v>
      </c>
      <c r="G96" s="1053">
        <f t="shared" ca="1" si="52"/>
        <v>0</v>
      </c>
      <c r="I96" s="1049">
        <f t="shared" ca="1" si="43"/>
        <v>11060.01</v>
      </c>
      <c r="J96" s="1050">
        <f t="shared" ca="1" si="44"/>
        <v>11200</v>
      </c>
      <c r="K96" s="1051">
        <f t="shared" si="45"/>
        <v>0.46299999999999975</v>
      </c>
      <c r="L96" s="1050">
        <f t="shared" ca="1" si="37"/>
        <v>5120</v>
      </c>
      <c r="M96" s="1052">
        <f t="shared" ca="1" si="33"/>
        <v>0</v>
      </c>
      <c r="N96" s="1053">
        <f t="shared" ca="1" si="53"/>
        <v>0</v>
      </c>
      <c r="P96" s="1049">
        <f t="shared" ca="1" si="46"/>
        <v>11140.01</v>
      </c>
      <c r="Q96" s="1050">
        <f t="shared" ca="1" si="47"/>
        <v>11280</v>
      </c>
      <c r="R96" s="1051">
        <f t="shared" si="48"/>
        <v>0.46299999999999975</v>
      </c>
      <c r="S96" s="1050">
        <f t="shared" ca="1" si="38"/>
        <v>5160</v>
      </c>
      <c r="T96" s="1052">
        <f t="shared" ca="1" si="34"/>
        <v>0</v>
      </c>
      <c r="U96" s="1053">
        <f t="shared" ca="1" si="54"/>
        <v>0</v>
      </c>
      <c r="W96" s="1049">
        <f t="shared" ca="1" si="49"/>
        <v>11000.01</v>
      </c>
      <c r="X96" s="1050">
        <f t="shared" ca="1" si="50"/>
        <v>11140</v>
      </c>
      <c r="Y96" s="1051">
        <f t="shared" si="51"/>
        <v>0.46299999999999975</v>
      </c>
      <c r="Z96" s="1050">
        <f t="shared" ca="1" si="39"/>
        <v>5090</v>
      </c>
      <c r="AA96" s="1052">
        <f t="shared" ca="1" si="35"/>
        <v>0</v>
      </c>
      <c r="AB96" s="1053">
        <f t="shared" ca="1" si="55"/>
        <v>0</v>
      </c>
    </row>
    <row r="97" spans="2:28" x14ac:dyDescent="0.25">
      <c r="B97" s="1049">
        <f t="shared" ca="1" si="40"/>
        <v>11200.01</v>
      </c>
      <c r="C97" s="1050">
        <f t="shared" ca="1" si="41"/>
        <v>11340</v>
      </c>
      <c r="D97" s="1051">
        <f t="shared" si="42"/>
        <v>0.45999999999999974</v>
      </c>
      <c r="E97" s="1050">
        <f t="shared" ca="1" si="36"/>
        <v>5150</v>
      </c>
      <c r="F97" s="1052">
        <f t="shared" ca="1" si="32"/>
        <v>0</v>
      </c>
      <c r="G97" s="1053">
        <f t="shared" ca="1" si="52"/>
        <v>0</v>
      </c>
      <c r="I97" s="1049">
        <f t="shared" ca="1" si="43"/>
        <v>11200.01</v>
      </c>
      <c r="J97" s="1050">
        <f t="shared" ca="1" si="44"/>
        <v>11340</v>
      </c>
      <c r="K97" s="1051">
        <f t="shared" si="45"/>
        <v>0.45999999999999974</v>
      </c>
      <c r="L97" s="1050">
        <f t="shared" ca="1" si="37"/>
        <v>5150</v>
      </c>
      <c r="M97" s="1052">
        <f t="shared" ca="1" si="33"/>
        <v>0</v>
      </c>
      <c r="N97" s="1053">
        <f t="shared" ca="1" si="53"/>
        <v>0</v>
      </c>
      <c r="P97" s="1049">
        <f t="shared" ca="1" si="46"/>
        <v>11280.01</v>
      </c>
      <c r="Q97" s="1050">
        <f t="shared" ca="1" si="47"/>
        <v>11420</v>
      </c>
      <c r="R97" s="1051">
        <f t="shared" si="48"/>
        <v>0.45999999999999974</v>
      </c>
      <c r="S97" s="1050">
        <f t="shared" ca="1" si="38"/>
        <v>5190</v>
      </c>
      <c r="T97" s="1052">
        <f t="shared" ca="1" si="34"/>
        <v>0</v>
      </c>
      <c r="U97" s="1053">
        <f t="shared" ca="1" si="54"/>
        <v>0</v>
      </c>
      <c r="W97" s="1049">
        <f t="shared" ca="1" si="49"/>
        <v>11140.01</v>
      </c>
      <c r="X97" s="1050">
        <f t="shared" ca="1" si="50"/>
        <v>11280</v>
      </c>
      <c r="Y97" s="1051">
        <f t="shared" si="51"/>
        <v>0.45999999999999974</v>
      </c>
      <c r="Z97" s="1050">
        <f t="shared" ca="1" si="39"/>
        <v>5120</v>
      </c>
      <c r="AA97" s="1052">
        <f t="shared" ca="1" si="35"/>
        <v>0</v>
      </c>
      <c r="AB97" s="1053">
        <f t="shared" ca="1" si="55"/>
        <v>0</v>
      </c>
    </row>
    <row r="98" spans="2:28" x14ac:dyDescent="0.25">
      <c r="B98" s="1049">
        <f t="shared" ca="1" si="40"/>
        <v>11340.01</v>
      </c>
      <c r="C98" s="1050">
        <f t="shared" ca="1" si="41"/>
        <v>11480</v>
      </c>
      <c r="D98" s="1051">
        <f t="shared" si="42"/>
        <v>0.45699999999999974</v>
      </c>
      <c r="E98" s="1050">
        <f t="shared" ca="1" si="36"/>
        <v>5180</v>
      </c>
      <c r="F98" s="1052">
        <f t="shared" ca="1" si="32"/>
        <v>0</v>
      </c>
      <c r="G98" s="1053">
        <f t="shared" ca="1" si="52"/>
        <v>0</v>
      </c>
      <c r="I98" s="1049">
        <f t="shared" ca="1" si="43"/>
        <v>11340.01</v>
      </c>
      <c r="J98" s="1050">
        <f t="shared" ca="1" si="44"/>
        <v>11480</v>
      </c>
      <c r="K98" s="1051">
        <f t="shared" si="45"/>
        <v>0.45699999999999974</v>
      </c>
      <c r="L98" s="1050">
        <f t="shared" ca="1" si="37"/>
        <v>5180</v>
      </c>
      <c r="M98" s="1052">
        <f t="shared" ca="1" si="33"/>
        <v>0</v>
      </c>
      <c r="N98" s="1053">
        <f t="shared" ca="1" si="53"/>
        <v>0</v>
      </c>
      <c r="P98" s="1049">
        <f t="shared" ca="1" si="46"/>
        <v>11420.01</v>
      </c>
      <c r="Q98" s="1050">
        <f t="shared" ca="1" si="47"/>
        <v>11560</v>
      </c>
      <c r="R98" s="1051">
        <f t="shared" si="48"/>
        <v>0.45699999999999974</v>
      </c>
      <c r="S98" s="1050">
        <f t="shared" ca="1" si="38"/>
        <v>5220</v>
      </c>
      <c r="T98" s="1052">
        <f t="shared" ca="1" si="34"/>
        <v>0</v>
      </c>
      <c r="U98" s="1053">
        <f t="shared" ca="1" si="54"/>
        <v>0</v>
      </c>
      <c r="W98" s="1049">
        <f t="shared" ca="1" si="49"/>
        <v>11280.01</v>
      </c>
      <c r="X98" s="1050">
        <f t="shared" ca="1" si="50"/>
        <v>11420</v>
      </c>
      <c r="Y98" s="1051">
        <f t="shared" si="51"/>
        <v>0.45699999999999974</v>
      </c>
      <c r="Z98" s="1050">
        <f t="shared" ca="1" si="39"/>
        <v>5150</v>
      </c>
      <c r="AA98" s="1052">
        <f t="shared" ca="1" si="35"/>
        <v>0</v>
      </c>
      <c r="AB98" s="1053">
        <f t="shared" ca="1" si="55"/>
        <v>0</v>
      </c>
    </row>
    <row r="99" spans="2:28" x14ac:dyDescent="0.25">
      <c r="B99" s="1049">
        <f t="shared" ca="1" si="40"/>
        <v>11480.01</v>
      </c>
      <c r="C99" s="1050">
        <f t="shared" ca="1" si="41"/>
        <v>11620</v>
      </c>
      <c r="D99" s="1051">
        <f t="shared" si="42"/>
        <v>0.45399999999999974</v>
      </c>
      <c r="E99" s="1050">
        <f t="shared" ca="1" si="36"/>
        <v>5210</v>
      </c>
      <c r="F99" s="1052">
        <f t="shared" ca="1" si="32"/>
        <v>0</v>
      </c>
      <c r="G99" s="1053">
        <f t="shared" ca="1" si="52"/>
        <v>0</v>
      </c>
      <c r="I99" s="1049">
        <f t="shared" ca="1" si="43"/>
        <v>11480.01</v>
      </c>
      <c r="J99" s="1050">
        <f t="shared" ca="1" si="44"/>
        <v>11620</v>
      </c>
      <c r="K99" s="1051">
        <f t="shared" si="45"/>
        <v>0.45399999999999974</v>
      </c>
      <c r="L99" s="1050">
        <f t="shared" ca="1" si="37"/>
        <v>5210</v>
      </c>
      <c r="M99" s="1052">
        <f t="shared" ca="1" si="33"/>
        <v>0</v>
      </c>
      <c r="N99" s="1053">
        <f t="shared" ca="1" si="53"/>
        <v>0</v>
      </c>
      <c r="P99" s="1049">
        <f t="shared" ca="1" si="46"/>
        <v>11560.01</v>
      </c>
      <c r="Q99" s="1050">
        <f t="shared" ca="1" si="47"/>
        <v>11700</v>
      </c>
      <c r="R99" s="1051">
        <f t="shared" si="48"/>
        <v>0.45399999999999974</v>
      </c>
      <c r="S99" s="1050">
        <f t="shared" ca="1" si="38"/>
        <v>5250</v>
      </c>
      <c r="T99" s="1052">
        <f t="shared" ca="1" si="34"/>
        <v>0</v>
      </c>
      <c r="U99" s="1053">
        <f t="shared" ca="1" si="54"/>
        <v>0</v>
      </c>
      <c r="W99" s="1049">
        <f t="shared" ca="1" si="49"/>
        <v>11420.01</v>
      </c>
      <c r="X99" s="1050">
        <f t="shared" ca="1" si="50"/>
        <v>11560</v>
      </c>
      <c r="Y99" s="1051">
        <f t="shared" si="51"/>
        <v>0.45399999999999974</v>
      </c>
      <c r="Z99" s="1050">
        <f t="shared" ca="1" si="39"/>
        <v>5180</v>
      </c>
      <c r="AA99" s="1052">
        <f t="shared" ca="1" si="35"/>
        <v>0</v>
      </c>
      <c r="AB99" s="1053">
        <f t="shared" ca="1" si="55"/>
        <v>0</v>
      </c>
    </row>
    <row r="100" spans="2:28" x14ac:dyDescent="0.25">
      <c r="B100" s="1049">
        <f t="shared" ca="1" si="40"/>
        <v>11620.01</v>
      </c>
      <c r="C100" s="1050">
        <f t="shared" ca="1" si="41"/>
        <v>11760</v>
      </c>
      <c r="D100" s="1051">
        <f t="shared" si="42"/>
        <v>0.45099999999999973</v>
      </c>
      <c r="E100" s="1050">
        <f t="shared" ca="1" si="36"/>
        <v>5240</v>
      </c>
      <c r="F100" s="1052">
        <f t="shared" ca="1" si="32"/>
        <v>0</v>
      </c>
      <c r="G100" s="1053">
        <f t="shared" ca="1" si="52"/>
        <v>0</v>
      </c>
      <c r="I100" s="1049">
        <f t="shared" ca="1" si="43"/>
        <v>11620.01</v>
      </c>
      <c r="J100" s="1050">
        <f t="shared" ca="1" si="44"/>
        <v>11760</v>
      </c>
      <c r="K100" s="1051">
        <f t="shared" si="45"/>
        <v>0.45099999999999973</v>
      </c>
      <c r="L100" s="1050">
        <f t="shared" ca="1" si="37"/>
        <v>5240</v>
      </c>
      <c r="M100" s="1052">
        <f t="shared" ca="1" si="33"/>
        <v>0</v>
      </c>
      <c r="N100" s="1053">
        <f t="shared" ca="1" si="53"/>
        <v>0</v>
      </c>
      <c r="P100" s="1049">
        <f t="shared" ca="1" si="46"/>
        <v>11700.01</v>
      </c>
      <c r="Q100" s="1050">
        <f t="shared" ca="1" si="47"/>
        <v>11840</v>
      </c>
      <c r="R100" s="1051">
        <f t="shared" si="48"/>
        <v>0.45099999999999973</v>
      </c>
      <c r="S100" s="1050">
        <f t="shared" ca="1" si="38"/>
        <v>5280</v>
      </c>
      <c r="T100" s="1052">
        <f t="shared" ca="1" si="34"/>
        <v>0</v>
      </c>
      <c r="U100" s="1053">
        <f t="shared" ca="1" si="54"/>
        <v>0</v>
      </c>
      <c r="W100" s="1049">
        <f t="shared" ca="1" si="49"/>
        <v>11560.01</v>
      </c>
      <c r="X100" s="1050">
        <f t="shared" ca="1" si="50"/>
        <v>11700</v>
      </c>
      <c r="Y100" s="1051">
        <f t="shared" si="51"/>
        <v>0.45099999999999973</v>
      </c>
      <c r="Z100" s="1050">
        <f t="shared" ca="1" si="39"/>
        <v>5210</v>
      </c>
      <c r="AA100" s="1052">
        <f t="shared" ca="1" si="35"/>
        <v>0</v>
      </c>
      <c r="AB100" s="1053">
        <f t="shared" ca="1" si="55"/>
        <v>0</v>
      </c>
    </row>
    <row r="101" spans="2:28" x14ac:dyDescent="0.25">
      <c r="B101" s="1049">
        <f t="shared" ca="1" si="40"/>
        <v>11760.01</v>
      </c>
      <c r="C101" s="1050">
        <f t="shared" ca="1" si="41"/>
        <v>11900</v>
      </c>
      <c r="D101" s="1051">
        <f t="shared" si="42"/>
        <v>0.44799999999999973</v>
      </c>
      <c r="E101" s="1050">
        <f t="shared" ca="1" si="36"/>
        <v>5270</v>
      </c>
      <c r="F101" s="1052">
        <f t="shared" ca="1" si="32"/>
        <v>0</v>
      </c>
      <c r="G101" s="1053">
        <f t="shared" ca="1" si="52"/>
        <v>0</v>
      </c>
      <c r="I101" s="1049">
        <f t="shared" ca="1" si="43"/>
        <v>11760.01</v>
      </c>
      <c r="J101" s="1050">
        <f t="shared" ca="1" si="44"/>
        <v>11900</v>
      </c>
      <c r="K101" s="1051">
        <f t="shared" si="45"/>
        <v>0.44799999999999973</v>
      </c>
      <c r="L101" s="1050">
        <f t="shared" ca="1" si="37"/>
        <v>5270</v>
      </c>
      <c r="M101" s="1052">
        <f t="shared" ca="1" si="33"/>
        <v>0</v>
      </c>
      <c r="N101" s="1053">
        <f t="shared" ca="1" si="53"/>
        <v>0</v>
      </c>
      <c r="P101" s="1049">
        <f t="shared" ca="1" si="46"/>
        <v>11840.01</v>
      </c>
      <c r="Q101" s="1050">
        <f t="shared" ca="1" si="47"/>
        <v>11980</v>
      </c>
      <c r="R101" s="1051">
        <f t="shared" si="48"/>
        <v>0.44799999999999973</v>
      </c>
      <c r="S101" s="1050">
        <f t="shared" ca="1" si="38"/>
        <v>5300</v>
      </c>
      <c r="T101" s="1052">
        <f t="shared" ca="1" si="34"/>
        <v>0</v>
      </c>
      <c r="U101" s="1053">
        <f t="shared" ca="1" si="54"/>
        <v>0</v>
      </c>
      <c r="W101" s="1049">
        <f t="shared" ca="1" si="49"/>
        <v>11700.01</v>
      </c>
      <c r="X101" s="1050">
        <f t="shared" ca="1" si="50"/>
        <v>11840</v>
      </c>
      <c r="Y101" s="1051">
        <f t="shared" si="51"/>
        <v>0.44799999999999973</v>
      </c>
      <c r="Z101" s="1050">
        <f t="shared" ca="1" si="39"/>
        <v>5240</v>
      </c>
      <c r="AA101" s="1052">
        <f t="shared" ca="1" si="35"/>
        <v>0</v>
      </c>
      <c r="AB101" s="1053">
        <f t="shared" ca="1" si="55"/>
        <v>0</v>
      </c>
    </row>
    <row r="102" spans="2:28" x14ac:dyDescent="0.25">
      <c r="B102" s="1049">
        <f t="shared" ca="1" si="40"/>
        <v>11900.01</v>
      </c>
      <c r="C102" s="1050">
        <f t="shared" ca="1" si="41"/>
        <v>12040</v>
      </c>
      <c r="D102" s="1051">
        <f t="shared" si="42"/>
        <v>0.44499999999999973</v>
      </c>
      <c r="E102" s="1050">
        <f t="shared" ca="1" si="36"/>
        <v>5300</v>
      </c>
      <c r="F102" s="1052">
        <f t="shared" ca="1" si="32"/>
        <v>0</v>
      </c>
      <c r="G102" s="1053">
        <f t="shared" ca="1" si="52"/>
        <v>0</v>
      </c>
      <c r="I102" s="1049">
        <f t="shared" ca="1" si="43"/>
        <v>11900.01</v>
      </c>
      <c r="J102" s="1050">
        <f t="shared" ca="1" si="44"/>
        <v>12040</v>
      </c>
      <c r="K102" s="1051">
        <f t="shared" si="45"/>
        <v>0.44499999999999973</v>
      </c>
      <c r="L102" s="1050">
        <f t="shared" ca="1" si="37"/>
        <v>5300</v>
      </c>
      <c r="M102" s="1052">
        <f t="shared" ca="1" si="33"/>
        <v>0</v>
      </c>
      <c r="N102" s="1053">
        <f t="shared" ca="1" si="53"/>
        <v>0</v>
      </c>
      <c r="P102" s="1049">
        <f t="shared" ca="1" si="46"/>
        <v>11980.01</v>
      </c>
      <c r="Q102" s="1050">
        <f t="shared" ca="1" si="47"/>
        <v>12120</v>
      </c>
      <c r="R102" s="1051">
        <f t="shared" si="48"/>
        <v>0.44499999999999973</v>
      </c>
      <c r="S102" s="1050">
        <f t="shared" ca="1" si="38"/>
        <v>5330</v>
      </c>
      <c r="T102" s="1052">
        <f t="shared" ca="1" si="34"/>
        <v>0</v>
      </c>
      <c r="U102" s="1053">
        <f t="shared" ca="1" si="54"/>
        <v>0</v>
      </c>
      <c r="W102" s="1049">
        <f t="shared" ca="1" si="49"/>
        <v>11840.01</v>
      </c>
      <c r="X102" s="1050">
        <f t="shared" ca="1" si="50"/>
        <v>11980</v>
      </c>
      <c r="Y102" s="1051">
        <f t="shared" si="51"/>
        <v>0.44499999999999973</v>
      </c>
      <c r="Z102" s="1050">
        <f t="shared" ca="1" si="39"/>
        <v>5270</v>
      </c>
      <c r="AA102" s="1052">
        <f t="shared" ca="1" si="35"/>
        <v>0</v>
      </c>
      <c r="AB102" s="1053">
        <f t="shared" ca="1" si="55"/>
        <v>0</v>
      </c>
    </row>
    <row r="103" spans="2:28" x14ac:dyDescent="0.25">
      <c r="B103" s="1049">
        <f t="shared" ca="1" si="40"/>
        <v>12040.01</v>
      </c>
      <c r="C103" s="1050">
        <f t="shared" ca="1" si="41"/>
        <v>12180</v>
      </c>
      <c r="D103" s="1051">
        <f t="shared" si="42"/>
        <v>0.44199999999999973</v>
      </c>
      <c r="E103" s="1050">
        <f t="shared" ca="1" si="36"/>
        <v>5320</v>
      </c>
      <c r="F103" s="1052">
        <f t="shared" ca="1" si="32"/>
        <v>0</v>
      </c>
      <c r="G103" s="1053">
        <f t="shared" ca="1" si="52"/>
        <v>0</v>
      </c>
      <c r="I103" s="1049">
        <f t="shared" ca="1" si="43"/>
        <v>12040.01</v>
      </c>
      <c r="J103" s="1050">
        <f t="shared" ca="1" si="44"/>
        <v>12180</v>
      </c>
      <c r="K103" s="1051">
        <f t="shared" si="45"/>
        <v>0.44199999999999973</v>
      </c>
      <c r="L103" s="1050">
        <f t="shared" ca="1" si="37"/>
        <v>5320</v>
      </c>
      <c r="M103" s="1052">
        <f t="shared" ca="1" si="33"/>
        <v>0</v>
      </c>
      <c r="N103" s="1053">
        <f t="shared" ca="1" si="53"/>
        <v>0</v>
      </c>
      <c r="P103" s="1049">
        <f t="shared" ca="1" si="46"/>
        <v>12120.01</v>
      </c>
      <c r="Q103" s="1050">
        <f t="shared" ca="1" si="47"/>
        <v>12260</v>
      </c>
      <c r="R103" s="1051">
        <f t="shared" si="48"/>
        <v>0.44199999999999973</v>
      </c>
      <c r="S103" s="1050">
        <f t="shared" ca="1" si="38"/>
        <v>5360</v>
      </c>
      <c r="T103" s="1052">
        <f t="shared" ca="1" si="34"/>
        <v>0</v>
      </c>
      <c r="U103" s="1053">
        <f t="shared" ca="1" si="54"/>
        <v>0</v>
      </c>
      <c r="W103" s="1049">
        <f t="shared" ca="1" si="49"/>
        <v>11980.01</v>
      </c>
      <c r="X103" s="1050">
        <f t="shared" ca="1" si="50"/>
        <v>12120</v>
      </c>
      <c r="Y103" s="1051">
        <f t="shared" si="51"/>
        <v>0.44199999999999973</v>
      </c>
      <c r="Z103" s="1050">
        <f t="shared" ca="1" si="39"/>
        <v>5300</v>
      </c>
      <c r="AA103" s="1052">
        <f t="shared" ca="1" si="35"/>
        <v>0</v>
      </c>
      <c r="AB103" s="1053">
        <f t="shared" ca="1" si="55"/>
        <v>0</v>
      </c>
    </row>
    <row r="104" spans="2:28" x14ac:dyDescent="0.25">
      <c r="B104" s="1049">
        <f t="shared" ca="1" si="40"/>
        <v>12180.01</v>
      </c>
      <c r="C104" s="1050">
        <f t="shared" ca="1" si="41"/>
        <v>12320</v>
      </c>
      <c r="D104" s="1051">
        <f t="shared" si="42"/>
        <v>0.43899999999999972</v>
      </c>
      <c r="E104" s="1050">
        <f t="shared" ca="1" si="36"/>
        <v>5350</v>
      </c>
      <c r="F104" s="1052">
        <f t="shared" ca="1" si="32"/>
        <v>0</v>
      </c>
      <c r="G104" s="1053">
        <f t="shared" ca="1" si="52"/>
        <v>0</v>
      </c>
      <c r="I104" s="1049">
        <f t="shared" ca="1" si="43"/>
        <v>12180.01</v>
      </c>
      <c r="J104" s="1050">
        <f t="shared" ca="1" si="44"/>
        <v>12320</v>
      </c>
      <c r="K104" s="1051">
        <f t="shared" si="45"/>
        <v>0.43899999999999972</v>
      </c>
      <c r="L104" s="1050">
        <f t="shared" ca="1" si="37"/>
        <v>5350</v>
      </c>
      <c r="M104" s="1052">
        <f t="shared" ca="1" si="33"/>
        <v>0</v>
      </c>
      <c r="N104" s="1053">
        <f t="shared" ca="1" si="53"/>
        <v>0</v>
      </c>
      <c r="P104" s="1049">
        <f t="shared" ca="1" si="46"/>
        <v>12260.01</v>
      </c>
      <c r="Q104" s="1050">
        <f t="shared" ca="1" si="47"/>
        <v>12400</v>
      </c>
      <c r="R104" s="1051">
        <f t="shared" si="48"/>
        <v>0.43899999999999972</v>
      </c>
      <c r="S104" s="1050">
        <f t="shared" ca="1" si="38"/>
        <v>5380</v>
      </c>
      <c r="T104" s="1052">
        <f t="shared" ca="1" si="34"/>
        <v>0</v>
      </c>
      <c r="U104" s="1053">
        <f t="shared" ca="1" si="54"/>
        <v>0</v>
      </c>
      <c r="W104" s="1049">
        <f t="shared" ca="1" si="49"/>
        <v>12120.01</v>
      </c>
      <c r="X104" s="1050">
        <f t="shared" ca="1" si="50"/>
        <v>12260</v>
      </c>
      <c r="Y104" s="1051">
        <f t="shared" si="51"/>
        <v>0.43899999999999972</v>
      </c>
      <c r="Z104" s="1050">
        <f t="shared" ca="1" si="39"/>
        <v>5320</v>
      </c>
      <c r="AA104" s="1052">
        <f t="shared" ca="1" si="35"/>
        <v>0</v>
      </c>
      <c r="AB104" s="1053">
        <f t="shared" ca="1" si="55"/>
        <v>0</v>
      </c>
    </row>
    <row r="105" spans="2:28" x14ac:dyDescent="0.25">
      <c r="B105" s="1049">
        <f t="shared" ca="1" si="40"/>
        <v>12320.01</v>
      </c>
      <c r="C105" s="1050">
        <f t="shared" ca="1" si="41"/>
        <v>12460</v>
      </c>
      <c r="D105" s="1051">
        <f t="shared" si="42"/>
        <v>0.43599999999999972</v>
      </c>
      <c r="E105" s="1050">
        <f t="shared" ca="1" si="36"/>
        <v>5370</v>
      </c>
      <c r="F105" s="1052">
        <f t="shared" ca="1" si="32"/>
        <v>0</v>
      </c>
      <c r="G105" s="1053">
        <f t="shared" ca="1" si="52"/>
        <v>0</v>
      </c>
      <c r="I105" s="1049">
        <f t="shared" ca="1" si="43"/>
        <v>12320.01</v>
      </c>
      <c r="J105" s="1050">
        <f t="shared" ca="1" si="44"/>
        <v>12460</v>
      </c>
      <c r="K105" s="1051">
        <f t="shared" si="45"/>
        <v>0.43599999999999972</v>
      </c>
      <c r="L105" s="1050">
        <f t="shared" ca="1" si="37"/>
        <v>5370</v>
      </c>
      <c r="M105" s="1052">
        <f t="shared" ca="1" si="33"/>
        <v>0</v>
      </c>
      <c r="N105" s="1053">
        <f t="shared" ca="1" si="53"/>
        <v>0</v>
      </c>
      <c r="P105" s="1049">
        <f t="shared" ca="1" si="46"/>
        <v>12400.01</v>
      </c>
      <c r="Q105" s="1050">
        <f t="shared" ca="1" si="47"/>
        <v>12540</v>
      </c>
      <c r="R105" s="1051">
        <f t="shared" si="48"/>
        <v>0.43599999999999972</v>
      </c>
      <c r="S105" s="1050">
        <f t="shared" ca="1" si="38"/>
        <v>5410</v>
      </c>
      <c r="T105" s="1052">
        <f t="shared" ca="1" si="34"/>
        <v>0</v>
      </c>
      <c r="U105" s="1053">
        <f t="shared" ca="1" si="54"/>
        <v>0</v>
      </c>
      <c r="W105" s="1049">
        <f t="shared" ca="1" si="49"/>
        <v>12260.01</v>
      </c>
      <c r="X105" s="1050">
        <f t="shared" ca="1" si="50"/>
        <v>12400</v>
      </c>
      <c r="Y105" s="1051">
        <f t="shared" si="51"/>
        <v>0.43599999999999972</v>
      </c>
      <c r="Z105" s="1050">
        <f t="shared" ca="1" si="39"/>
        <v>5350</v>
      </c>
      <c r="AA105" s="1052">
        <f t="shared" ca="1" si="35"/>
        <v>0</v>
      </c>
      <c r="AB105" s="1053">
        <f t="shared" ca="1" si="55"/>
        <v>0</v>
      </c>
    </row>
    <row r="106" spans="2:28" x14ac:dyDescent="0.25">
      <c r="B106" s="1049">
        <f t="shared" ca="1" si="40"/>
        <v>12460.01</v>
      </c>
      <c r="C106" s="1050">
        <f t="shared" ca="1" si="41"/>
        <v>12600</v>
      </c>
      <c r="D106" s="1051">
        <f t="shared" si="42"/>
        <v>0.43299999999999972</v>
      </c>
      <c r="E106" s="1050">
        <f t="shared" ca="1" si="36"/>
        <v>5400</v>
      </c>
      <c r="F106" s="1052">
        <f t="shared" ca="1" si="32"/>
        <v>0</v>
      </c>
      <c r="G106" s="1053">
        <f t="shared" ca="1" si="52"/>
        <v>0</v>
      </c>
      <c r="I106" s="1049">
        <f t="shared" ca="1" si="43"/>
        <v>12460.01</v>
      </c>
      <c r="J106" s="1050">
        <f t="shared" ca="1" si="44"/>
        <v>12600</v>
      </c>
      <c r="K106" s="1051">
        <f t="shared" si="45"/>
        <v>0.43299999999999972</v>
      </c>
      <c r="L106" s="1050">
        <f t="shared" ca="1" si="37"/>
        <v>5400</v>
      </c>
      <c r="M106" s="1052">
        <f t="shared" ca="1" si="33"/>
        <v>0</v>
      </c>
      <c r="N106" s="1053">
        <f t="shared" ca="1" si="53"/>
        <v>0</v>
      </c>
      <c r="P106" s="1049">
        <f t="shared" ca="1" si="46"/>
        <v>12540.01</v>
      </c>
      <c r="Q106" s="1050">
        <f t="shared" ca="1" si="47"/>
        <v>12680</v>
      </c>
      <c r="R106" s="1051">
        <f t="shared" si="48"/>
        <v>0.43299999999999972</v>
      </c>
      <c r="S106" s="1050">
        <f t="shared" ca="1" si="38"/>
        <v>5430</v>
      </c>
      <c r="T106" s="1052">
        <f t="shared" ca="1" si="34"/>
        <v>0</v>
      </c>
      <c r="U106" s="1053">
        <f t="shared" ca="1" si="54"/>
        <v>0</v>
      </c>
      <c r="W106" s="1049">
        <f t="shared" ca="1" si="49"/>
        <v>12400.01</v>
      </c>
      <c r="X106" s="1050">
        <f t="shared" ca="1" si="50"/>
        <v>12540</v>
      </c>
      <c r="Y106" s="1051">
        <f t="shared" si="51"/>
        <v>0.43299999999999972</v>
      </c>
      <c r="Z106" s="1050">
        <f t="shared" ca="1" si="39"/>
        <v>5370</v>
      </c>
      <c r="AA106" s="1052">
        <f t="shared" ca="1" si="35"/>
        <v>0</v>
      </c>
      <c r="AB106" s="1053">
        <f t="shared" ca="1" si="55"/>
        <v>0</v>
      </c>
    </row>
    <row r="107" spans="2:28" x14ac:dyDescent="0.25">
      <c r="B107" s="1049">
        <f t="shared" ca="1" si="40"/>
        <v>12600.01</v>
      </c>
      <c r="C107" s="1050">
        <f t="shared" ca="1" si="41"/>
        <v>12740</v>
      </c>
      <c r="D107" s="1051">
        <f t="shared" si="42"/>
        <v>0.42999999999999972</v>
      </c>
      <c r="E107" s="1050">
        <f t="shared" ca="1" si="36"/>
        <v>5420</v>
      </c>
      <c r="F107" s="1052">
        <f t="shared" ca="1" si="32"/>
        <v>0</v>
      </c>
      <c r="G107" s="1053">
        <f t="shared" ca="1" si="52"/>
        <v>0</v>
      </c>
      <c r="I107" s="1049">
        <f t="shared" ca="1" si="43"/>
        <v>12600.01</v>
      </c>
      <c r="J107" s="1050">
        <f t="shared" ca="1" si="44"/>
        <v>12740</v>
      </c>
      <c r="K107" s="1051">
        <f t="shared" si="45"/>
        <v>0.42999999999999972</v>
      </c>
      <c r="L107" s="1050">
        <f t="shared" ca="1" si="37"/>
        <v>5420</v>
      </c>
      <c r="M107" s="1052">
        <f t="shared" ca="1" si="33"/>
        <v>0</v>
      </c>
      <c r="N107" s="1053">
        <f t="shared" ca="1" si="53"/>
        <v>0</v>
      </c>
      <c r="P107" s="1049">
        <f t="shared" ca="1" si="46"/>
        <v>12680.01</v>
      </c>
      <c r="Q107" s="1050">
        <f t="shared" ca="1" si="47"/>
        <v>12820</v>
      </c>
      <c r="R107" s="1051">
        <f t="shared" si="48"/>
        <v>0.42999999999999972</v>
      </c>
      <c r="S107" s="1050">
        <f t="shared" ca="1" si="38"/>
        <v>5450</v>
      </c>
      <c r="T107" s="1052">
        <f t="shared" ca="1" si="34"/>
        <v>0</v>
      </c>
      <c r="U107" s="1053">
        <f t="shared" ca="1" si="54"/>
        <v>0</v>
      </c>
      <c r="W107" s="1049">
        <f t="shared" ca="1" si="49"/>
        <v>12540.01</v>
      </c>
      <c r="X107" s="1050">
        <f t="shared" ca="1" si="50"/>
        <v>12680</v>
      </c>
      <c r="Y107" s="1051">
        <f t="shared" si="51"/>
        <v>0.42999999999999972</v>
      </c>
      <c r="Z107" s="1050">
        <f t="shared" ca="1" si="39"/>
        <v>5390</v>
      </c>
      <c r="AA107" s="1052">
        <f t="shared" ca="1" si="35"/>
        <v>0</v>
      </c>
      <c r="AB107" s="1053">
        <f t="shared" ca="1" si="55"/>
        <v>0</v>
      </c>
    </row>
    <row r="108" spans="2:28" x14ac:dyDescent="0.25">
      <c r="B108" s="1049">
        <f t="shared" ca="1" si="40"/>
        <v>12740.01</v>
      </c>
      <c r="C108" s="1050">
        <f t="shared" ca="1" si="41"/>
        <v>12880</v>
      </c>
      <c r="D108" s="1051">
        <f t="shared" si="42"/>
        <v>0.42699999999999971</v>
      </c>
      <c r="E108" s="1050">
        <f t="shared" ca="1" si="36"/>
        <v>5440</v>
      </c>
      <c r="F108" s="1052">
        <f t="shared" ca="1" si="32"/>
        <v>0</v>
      </c>
      <c r="G108" s="1053">
        <f t="shared" ca="1" si="52"/>
        <v>0</v>
      </c>
      <c r="I108" s="1049">
        <f t="shared" ca="1" si="43"/>
        <v>12740.01</v>
      </c>
      <c r="J108" s="1050">
        <f t="shared" ca="1" si="44"/>
        <v>12880</v>
      </c>
      <c r="K108" s="1051">
        <f t="shared" si="45"/>
        <v>0.42699999999999971</v>
      </c>
      <c r="L108" s="1050">
        <f t="shared" ca="1" si="37"/>
        <v>5440</v>
      </c>
      <c r="M108" s="1052">
        <f t="shared" ca="1" si="33"/>
        <v>0</v>
      </c>
      <c r="N108" s="1053">
        <f t="shared" ca="1" si="53"/>
        <v>0</v>
      </c>
      <c r="P108" s="1049">
        <f t="shared" ca="1" si="46"/>
        <v>12820.01</v>
      </c>
      <c r="Q108" s="1050">
        <f t="shared" ca="1" si="47"/>
        <v>12960</v>
      </c>
      <c r="R108" s="1051">
        <f t="shared" si="48"/>
        <v>0.42699999999999971</v>
      </c>
      <c r="S108" s="1050">
        <f t="shared" ca="1" si="38"/>
        <v>5470</v>
      </c>
      <c r="T108" s="1052">
        <f t="shared" ca="1" si="34"/>
        <v>0</v>
      </c>
      <c r="U108" s="1053">
        <f t="shared" ca="1" si="54"/>
        <v>0</v>
      </c>
      <c r="W108" s="1049">
        <f t="shared" ca="1" si="49"/>
        <v>12680.01</v>
      </c>
      <c r="X108" s="1050">
        <f t="shared" ca="1" si="50"/>
        <v>12820</v>
      </c>
      <c r="Y108" s="1051">
        <f t="shared" si="51"/>
        <v>0.42699999999999971</v>
      </c>
      <c r="Z108" s="1050">
        <f t="shared" ca="1" si="39"/>
        <v>5410</v>
      </c>
      <c r="AA108" s="1052">
        <f t="shared" ca="1" si="35"/>
        <v>0</v>
      </c>
      <c r="AB108" s="1053">
        <f t="shared" ca="1" si="55"/>
        <v>0</v>
      </c>
    </row>
    <row r="109" spans="2:28" x14ac:dyDescent="0.25">
      <c r="B109" s="1049">
        <f t="shared" ca="1" si="40"/>
        <v>12880.01</v>
      </c>
      <c r="C109" s="1050">
        <f t="shared" ca="1" si="41"/>
        <v>13020</v>
      </c>
      <c r="D109" s="1051">
        <f t="shared" si="42"/>
        <v>0.42399999999999971</v>
      </c>
      <c r="E109" s="1050">
        <f t="shared" ca="1" si="36"/>
        <v>5460</v>
      </c>
      <c r="F109" s="1052">
        <f t="shared" ca="1" si="32"/>
        <v>0</v>
      </c>
      <c r="G109" s="1053">
        <f t="shared" ca="1" si="52"/>
        <v>0</v>
      </c>
      <c r="I109" s="1049">
        <f t="shared" ca="1" si="43"/>
        <v>12880.01</v>
      </c>
      <c r="J109" s="1050">
        <f t="shared" ca="1" si="44"/>
        <v>13020</v>
      </c>
      <c r="K109" s="1051">
        <f t="shared" si="45"/>
        <v>0.42399999999999971</v>
      </c>
      <c r="L109" s="1050">
        <f t="shared" ca="1" si="37"/>
        <v>5460</v>
      </c>
      <c r="M109" s="1052">
        <f t="shared" ca="1" si="33"/>
        <v>0</v>
      </c>
      <c r="N109" s="1053">
        <f t="shared" ca="1" si="53"/>
        <v>0</v>
      </c>
      <c r="P109" s="1049">
        <f t="shared" ca="1" si="46"/>
        <v>12960.01</v>
      </c>
      <c r="Q109" s="1050">
        <f t="shared" ca="1" si="47"/>
        <v>13100</v>
      </c>
      <c r="R109" s="1051">
        <f t="shared" si="48"/>
        <v>0.42399999999999971</v>
      </c>
      <c r="S109" s="1050">
        <f t="shared" ca="1" si="38"/>
        <v>5500</v>
      </c>
      <c r="T109" s="1052">
        <f t="shared" ca="1" si="34"/>
        <v>0</v>
      </c>
      <c r="U109" s="1053">
        <f t="shared" ca="1" si="54"/>
        <v>0</v>
      </c>
      <c r="W109" s="1049">
        <f t="shared" ca="1" si="49"/>
        <v>12820.01</v>
      </c>
      <c r="X109" s="1050">
        <f t="shared" ca="1" si="50"/>
        <v>12960</v>
      </c>
      <c r="Y109" s="1051">
        <f t="shared" si="51"/>
        <v>0.42399999999999971</v>
      </c>
      <c r="Z109" s="1050">
        <f t="shared" ca="1" si="39"/>
        <v>5440</v>
      </c>
      <c r="AA109" s="1052">
        <f t="shared" ca="1" si="35"/>
        <v>0</v>
      </c>
      <c r="AB109" s="1053">
        <f t="shared" ca="1" si="55"/>
        <v>0</v>
      </c>
    </row>
    <row r="110" spans="2:28" x14ac:dyDescent="0.25">
      <c r="B110" s="1049">
        <f t="shared" ca="1" si="40"/>
        <v>13020.01</v>
      </c>
      <c r="C110" s="1050">
        <f t="shared" ca="1" si="41"/>
        <v>13160</v>
      </c>
      <c r="D110" s="1051">
        <f t="shared" si="42"/>
        <v>0.42099999999999971</v>
      </c>
      <c r="E110" s="1050">
        <f t="shared" ca="1" si="36"/>
        <v>5480</v>
      </c>
      <c r="F110" s="1052">
        <f t="shared" ca="1" si="32"/>
        <v>0</v>
      </c>
      <c r="G110" s="1053">
        <f t="shared" ca="1" si="52"/>
        <v>0</v>
      </c>
      <c r="I110" s="1049">
        <f t="shared" ca="1" si="43"/>
        <v>13020.01</v>
      </c>
      <c r="J110" s="1050">
        <f t="shared" ca="1" si="44"/>
        <v>13160</v>
      </c>
      <c r="K110" s="1051">
        <f t="shared" si="45"/>
        <v>0.42099999999999971</v>
      </c>
      <c r="L110" s="1050">
        <f t="shared" ca="1" si="37"/>
        <v>5480</v>
      </c>
      <c r="M110" s="1052">
        <f t="shared" ca="1" si="33"/>
        <v>0</v>
      </c>
      <c r="N110" s="1053">
        <f t="shared" ca="1" si="53"/>
        <v>0</v>
      </c>
      <c r="P110" s="1049">
        <f t="shared" ca="1" si="46"/>
        <v>13100.01</v>
      </c>
      <c r="Q110" s="1050">
        <f t="shared" ca="1" si="47"/>
        <v>13240</v>
      </c>
      <c r="R110" s="1051">
        <f t="shared" si="48"/>
        <v>0.42099999999999971</v>
      </c>
      <c r="S110" s="1050">
        <f t="shared" ca="1" si="38"/>
        <v>5520</v>
      </c>
      <c r="T110" s="1052">
        <f t="shared" ca="1" si="34"/>
        <v>0</v>
      </c>
      <c r="U110" s="1053">
        <f t="shared" ca="1" si="54"/>
        <v>0</v>
      </c>
      <c r="W110" s="1049">
        <f t="shared" ca="1" si="49"/>
        <v>12960.01</v>
      </c>
      <c r="X110" s="1050">
        <f t="shared" ca="1" si="50"/>
        <v>13100</v>
      </c>
      <c r="Y110" s="1051">
        <f t="shared" si="51"/>
        <v>0.42099999999999971</v>
      </c>
      <c r="Z110" s="1050">
        <f t="shared" ca="1" si="39"/>
        <v>5460</v>
      </c>
      <c r="AA110" s="1052">
        <f t="shared" ca="1" si="35"/>
        <v>0</v>
      </c>
      <c r="AB110" s="1053">
        <f t="shared" ca="1" si="55"/>
        <v>0</v>
      </c>
    </row>
    <row r="111" spans="2:28" x14ac:dyDescent="0.25">
      <c r="B111" s="1049">
        <f t="shared" ca="1" si="40"/>
        <v>13160.01</v>
      </c>
      <c r="C111" s="1050">
        <f t="shared" ca="1" si="41"/>
        <v>13300</v>
      </c>
      <c r="D111" s="1051">
        <f t="shared" si="42"/>
        <v>0.41799999999999971</v>
      </c>
      <c r="E111" s="1050">
        <f t="shared" ca="1" si="36"/>
        <v>5500</v>
      </c>
      <c r="F111" s="1052">
        <f t="shared" ca="1" si="32"/>
        <v>0</v>
      </c>
      <c r="G111" s="1053">
        <f t="shared" ca="1" si="52"/>
        <v>0</v>
      </c>
      <c r="I111" s="1049">
        <f t="shared" ca="1" si="43"/>
        <v>13160.01</v>
      </c>
      <c r="J111" s="1050">
        <f t="shared" ca="1" si="44"/>
        <v>13300</v>
      </c>
      <c r="K111" s="1051">
        <f t="shared" si="45"/>
        <v>0.41799999999999971</v>
      </c>
      <c r="L111" s="1050">
        <f t="shared" ca="1" si="37"/>
        <v>5500</v>
      </c>
      <c r="M111" s="1052">
        <f t="shared" ca="1" si="33"/>
        <v>0</v>
      </c>
      <c r="N111" s="1053">
        <f t="shared" ca="1" si="53"/>
        <v>0</v>
      </c>
      <c r="P111" s="1049">
        <f t="shared" ca="1" si="46"/>
        <v>13240.01</v>
      </c>
      <c r="Q111" s="1050">
        <f t="shared" ca="1" si="47"/>
        <v>13380</v>
      </c>
      <c r="R111" s="1051">
        <f t="shared" si="48"/>
        <v>0.41799999999999971</v>
      </c>
      <c r="S111" s="1050">
        <f t="shared" ca="1" si="38"/>
        <v>5530</v>
      </c>
      <c r="T111" s="1052">
        <f t="shared" ca="1" si="34"/>
        <v>0</v>
      </c>
      <c r="U111" s="1053">
        <f t="shared" ca="1" si="54"/>
        <v>0</v>
      </c>
      <c r="W111" s="1049">
        <f t="shared" ca="1" si="49"/>
        <v>13100.01</v>
      </c>
      <c r="X111" s="1050">
        <f t="shared" ca="1" si="50"/>
        <v>13240</v>
      </c>
      <c r="Y111" s="1051">
        <f t="shared" si="51"/>
        <v>0.41799999999999971</v>
      </c>
      <c r="Z111" s="1050">
        <f t="shared" ca="1" si="39"/>
        <v>5480</v>
      </c>
      <c r="AA111" s="1052">
        <f t="shared" ca="1" si="35"/>
        <v>0</v>
      </c>
      <c r="AB111" s="1053">
        <f t="shared" ca="1" si="55"/>
        <v>0</v>
      </c>
    </row>
    <row r="112" spans="2:28" x14ac:dyDescent="0.25">
      <c r="B112" s="1049">
        <f t="shared" ca="1" si="40"/>
        <v>13300.01</v>
      </c>
      <c r="C112" s="1050">
        <f t="shared" ca="1" si="41"/>
        <v>13440</v>
      </c>
      <c r="D112" s="1051">
        <f t="shared" si="42"/>
        <v>0.4149999999999997</v>
      </c>
      <c r="E112" s="1050">
        <f t="shared" ca="1" si="36"/>
        <v>5520</v>
      </c>
      <c r="F112" s="1052">
        <f t="shared" ca="1" si="32"/>
        <v>0</v>
      </c>
      <c r="G112" s="1053">
        <f t="shared" ca="1" si="52"/>
        <v>0</v>
      </c>
      <c r="I112" s="1049">
        <f t="shared" ca="1" si="43"/>
        <v>13300.01</v>
      </c>
      <c r="J112" s="1050">
        <f t="shared" ca="1" si="44"/>
        <v>13440</v>
      </c>
      <c r="K112" s="1051">
        <f t="shared" si="45"/>
        <v>0.4149999999999997</v>
      </c>
      <c r="L112" s="1050">
        <f t="shared" ca="1" si="37"/>
        <v>5520</v>
      </c>
      <c r="M112" s="1052">
        <f t="shared" ca="1" si="33"/>
        <v>0</v>
      </c>
      <c r="N112" s="1053">
        <f t="shared" ca="1" si="53"/>
        <v>0</v>
      </c>
      <c r="P112" s="1049">
        <f t="shared" ca="1" si="46"/>
        <v>13380.01</v>
      </c>
      <c r="Q112" s="1050">
        <f t="shared" ca="1" si="47"/>
        <v>13520</v>
      </c>
      <c r="R112" s="1051">
        <f t="shared" si="48"/>
        <v>0.4149999999999997</v>
      </c>
      <c r="S112" s="1050">
        <f t="shared" ca="1" si="38"/>
        <v>5550</v>
      </c>
      <c r="T112" s="1052">
        <f t="shared" ca="1" si="34"/>
        <v>0</v>
      </c>
      <c r="U112" s="1053">
        <f t="shared" ca="1" si="54"/>
        <v>0</v>
      </c>
      <c r="W112" s="1049">
        <f t="shared" ca="1" si="49"/>
        <v>13240.01</v>
      </c>
      <c r="X112" s="1050">
        <f t="shared" ca="1" si="50"/>
        <v>13380</v>
      </c>
      <c r="Y112" s="1051">
        <f t="shared" si="51"/>
        <v>0.4149999999999997</v>
      </c>
      <c r="Z112" s="1050">
        <f t="shared" ca="1" si="39"/>
        <v>5490</v>
      </c>
      <c r="AA112" s="1052">
        <f t="shared" ca="1" si="35"/>
        <v>0</v>
      </c>
      <c r="AB112" s="1053">
        <f t="shared" ca="1" si="55"/>
        <v>0</v>
      </c>
    </row>
    <row r="113" spans="2:28" x14ac:dyDescent="0.25">
      <c r="B113" s="1049">
        <f t="shared" ca="1" si="40"/>
        <v>13440.01</v>
      </c>
      <c r="C113" s="1050">
        <f t="shared" ca="1" si="41"/>
        <v>13580</v>
      </c>
      <c r="D113" s="1051">
        <f t="shared" si="42"/>
        <v>0.4119999999999997</v>
      </c>
      <c r="E113" s="1050">
        <f t="shared" ca="1" si="36"/>
        <v>5540</v>
      </c>
      <c r="F113" s="1052">
        <f t="shared" ca="1" si="32"/>
        <v>0</v>
      </c>
      <c r="G113" s="1053">
        <f t="shared" ca="1" si="52"/>
        <v>0</v>
      </c>
      <c r="I113" s="1049">
        <f t="shared" ca="1" si="43"/>
        <v>13440.01</v>
      </c>
      <c r="J113" s="1050">
        <f t="shared" ca="1" si="44"/>
        <v>13580</v>
      </c>
      <c r="K113" s="1051">
        <f t="shared" si="45"/>
        <v>0.4119999999999997</v>
      </c>
      <c r="L113" s="1050">
        <f t="shared" ca="1" si="37"/>
        <v>5540</v>
      </c>
      <c r="M113" s="1052">
        <f t="shared" ca="1" si="33"/>
        <v>0</v>
      </c>
      <c r="N113" s="1053">
        <f t="shared" ca="1" si="53"/>
        <v>0</v>
      </c>
      <c r="P113" s="1049">
        <f t="shared" ca="1" si="46"/>
        <v>13520.01</v>
      </c>
      <c r="Q113" s="1050">
        <f t="shared" ca="1" si="47"/>
        <v>13660</v>
      </c>
      <c r="R113" s="1051">
        <f t="shared" si="48"/>
        <v>0.4119999999999997</v>
      </c>
      <c r="S113" s="1050">
        <f t="shared" ca="1" si="38"/>
        <v>5570</v>
      </c>
      <c r="T113" s="1052">
        <f t="shared" ca="1" si="34"/>
        <v>0</v>
      </c>
      <c r="U113" s="1053">
        <f t="shared" ca="1" si="54"/>
        <v>0</v>
      </c>
      <c r="W113" s="1049">
        <f t="shared" ca="1" si="49"/>
        <v>13380.01</v>
      </c>
      <c r="X113" s="1050">
        <f t="shared" ca="1" si="50"/>
        <v>13520</v>
      </c>
      <c r="Y113" s="1051">
        <f t="shared" si="51"/>
        <v>0.4119999999999997</v>
      </c>
      <c r="Z113" s="1050">
        <f t="shared" ca="1" si="39"/>
        <v>5510</v>
      </c>
      <c r="AA113" s="1052">
        <f t="shared" ca="1" si="35"/>
        <v>0</v>
      </c>
      <c r="AB113" s="1053">
        <f t="shared" ca="1" si="55"/>
        <v>0</v>
      </c>
    </row>
    <row r="114" spans="2:28" x14ac:dyDescent="0.25">
      <c r="B114" s="1049">
        <f t="shared" ca="1" si="40"/>
        <v>13580.01</v>
      </c>
      <c r="C114" s="1050">
        <f t="shared" ca="1" si="41"/>
        <v>13720</v>
      </c>
      <c r="D114" s="1051">
        <f t="shared" si="42"/>
        <v>0.4089999999999997</v>
      </c>
      <c r="E114" s="1050">
        <f t="shared" ca="1" si="36"/>
        <v>5550</v>
      </c>
      <c r="F114" s="1052">
        <f t="shared" ca="1" si="32"/>
        <v>0</v>
      </c>
      <c r="G114" s="1053">
        <f t="shared" ca="1" si="52"/>
        <v>0</v>
      </c>
      <c r="I114" s="1049">
        <f t="shared" ca="1" si="43"/>
        <v>13580.01</v>
      </c>
      <c r="J114" s="1050">
        <f t="shared" ca="1" si="44"/>
        <v>13720</v>
      </c>
      <c r="K114" s="1051">
        <f t="shared" si="45"/>
        <v>0.4089999999999997</v>
      </c>
      <c r="L114" s="1050">
        <f t="shared" ca="1" si="37"/>
        <v>5550</v>
      </c>
      <c r="M114" s="1052">
        <f t="shared" ca="1" si="33"/>
        <v>0</v>
      </c>
      <c r="N114" s="1053">
        <f t="shared" ca="1" si="53"/>
        <v>0</v>
      </c>
      <c r="P114" s="1049">
        <f t="shared" ca="1" si="46"/>
        <v>13660.01</v>
      </c>
      <c r="Q114" s="1050">
        <f t="shared" ca="1" si="47"/>
        <v>13800</v>
      </c>
      <c r="R114" s="1051">
        <f t="shared" si="48"/>
        <v>0.4089999999999997</v>
      </c>
      <c r="S114" s="1050">
        <f t="shared" ca="1" si="38"/>
        <v>5590</v>
      </c>
      <c r="T114" s="1052">
        <f t="shared" ca="1" si="34"/>
        <v>0</v>
      </c>
      <c r="U114" s="1053">
        <f t="shared" ca="1" si="54"/>
        <v>0</v>
      </c>
      <c r="W114" s="1049">
        <f t="shared" ca="1" si="49"/>
        <v>13520.01</v>
      </c>
      <c r="X114" s="1050">
        <f t="shared" ca="1" si="50"/>
        <v>13660</v>
      </c>
      <c r="Y114" s="1051">
        <f t="shared" si="51"/>
        <v>0.4089999999999997</v>
      </c>
      <c r="Z114" s="1050">
        <f t="shared" ca="1" si="39"/>
        <v>5530</v>
      </c>
      <c r="AA114" s="1052">
        <f t="shared" ca="1" si="35"/>
        <v>0</v>
      </c>
      <c r="AB114" s="1053">
        <f t="shared" ca="1" si="55"/>
        <v>0</v>
      </c>
    </row>
    <row r="115" spans="2:28" x14ac:dyDescent="0.25">
      <c r="B115" s="1049">
        <f t="shared" ca="1" si="40"/>
        <v>13720.01</v>
      </c>
      <c r="C115" s="1050">
        <f t="shared" ca="1" si="41"/>
        <v>13860</v>
      </c>
      <c r="D115" s="1051">
        <f t="shared" si="42"/>
        <v>0.40599999999999969</v>
      </c>
      <c r="E115" s="1050">
        <f t="shared" ca="1" si="36"/>
        <v>5570</v>
      </c>
      <c r="F115" s="1052">
        <f t="shared" ca="1" si="32"/>
        <v>0</v>
      </c>
      <c r="G115" s="1053">
        <f t="shared" ca="1" si="52"/>
        <v>0</v>
      </c>
      <c r="I115" s="1049">
        <f t="shared" ca="1" si="43"/>
        <v>13720.01</v>
      </c>
      <c r="J115" s="1050">
        <f t="shared" ca="1" si="44"/>
        <v>13860</v>
      </c>
      <c r="K115" s="1051">
        <f t="shared" si="45"/>
        <v>0.40599999999999969</v>
      </c>
      <c r="L115" s="1050">
        <f t="shared" ca="1" si="37"/>
        <v>5570</v>
      </c>
      <c r="M115" s="1052">
        <f t="shared" ca="1" si="33"/>
        <v>0</v>
      </c>
      <c r="N115" s="1053">
        <f t="shared" ca="1" si="53"/>
        <v>0</v>
      </c>
      <c r="P115" s="1049">
        <f t="shared" ca="1" si="46"/>
        <v>13800.01</v>
      </c>
      <c r="Q115" s="1050">
        <f t="shared" ca="1" si="47"/>
        <v>13940</v>
      </c>
      <c r="R115" s="1051">
        <f t="shared" si="48"/>
        <v>0.40599999999999969</v>
      </c>
      <c r="S115" s="1050">
        <f t="shared" ca="1" si="38"/>
        <v>5600</v>
      </c>
      <c r="T115" s="1052">
        <f t="shared" ca="1" si="34"/>
        <v>0</v>
      </c>
      <c r="U115" s="1053">
        <f t="shared" ca="1" si="54"/>
        <v>0</v>
      </c>
      <c r="W115" s="1049">
        <f t="shared" ca="1" si="49"/>
        <v>13660.01</v>
      </c>
      <c r="X115" s="1050">
        <f t="shared" ca="1" si="50"/>
        <v>13800</v>
      </c>
      <c r="Y115" s="1051">
        <f t="shared" si="51"/>
        <v>0.40599999999999969</v>
      </c>
      <c r="Z115" s="1050">
        <f t="shared" ca="1" si="39"/>
        <v>5550</v>
      </c>
      <c r="AA115" s="1052">
        <f t="shared" ca="1" si="35"/>
        <v>0</v>
      </c>
      <c r="AB115" s="1053">
        <f t="shared" ca="1" si="55"/>
        <v>0</v>
      </c>
    </row>
    <row r="116" spans="2:28" x14ac:dyDescent="0.25">
      <c r="B116" s="1049">
        <f t="shared" ca="1" si="40"/>
        <v>13860.01</v>
      </c>
      <c r="C116" s="1050">
        <f t="shared" ca="1" si="41"/>
        <v>14000</v>
      </c>
      <c r="D116" s="1051">
        <f t="shared" si="42"/>
        <v>0.40299999999999969</v>
      </c>
      <c r="E116" s="1050">
        <f t="shared" ca="1" si="36"/>
        <v>5590</v>
      </c>
      <c r="F116" s="1052">
        <f t="shared" ca="1" si="32"/>
        <v>0</v>
      </c>
      <c r="G116" s="1053">
        <f t="shared" ca="1" si="52"/>
        <v>0</v>
      </c>
      <c r="I116" s="1049">
        <f t="shared" ca="1" si="43"/>
        <v>13860.01</v>
      </c>
      <c r="J116" s="1050">
        <f t="shared" ca="1" si="44"/>
        <v>14000</v>
      </c>
      <c r="K116" s="1051">
        <f t="shared" si="45"/>
        <v>0.40299999999999969</v>
      </c>
      <c r="L116" s="1050">
        <f t="shared" ca="1" si="37"/>
        <v>5590</v>
      </c>
      <c r="M116" s="1052">
        <f t="shared" ca="1" si="33"/>
        <v>0</v>
      </c>
      <c r="N116" s="1053">
        <f t="shared" ca="1" si="53"/>
        <v>0</v>
      </c>
      <c r="P116" s="1049">
        <f t="shared" ca="1" si="46"/>
        <v>13940.01</v>
      </c>
      <c r="Q116" s="1050">
        <f t="shared" ca="1" si="47"/>
        <v>14080</v>
      </c>
      <c r="R116" s="1051">
        <f t="shared" si="48"/>
        <v>0.40299999999999969</v>
      </c>
      <c r="S116" s="1050">
        <f t="shared" ca="1" si="38"/>
        <v>5620</v>
      </c>
      <c r="T116" s="1052">
        <f t="shared" ca="1" si="34"/>
        <v>0</v>
      </c>
      <c r="U116" s="1053">
        <f t="shared" ca="1" si="54"/>
        <v>0</v>
      </c>
      <c r="W116" s="1049">
        <f t="shared" ca="1" si="49"/>
        <v>13800.01</v>
      </c>
      <c r="X116" s="1050">
        <f t="shared" ca="1" si="50"/>
        <v>13940</v>
      </c>
      <c r="Y116" s="1051">
        <f t="shared" si="51"/>
        <v>0.40299999999999969</v>
      </c>
      <c r="Z116" s="1050">
        <f t="shared" ca="1" si="39"/>
        <v>5560</v>
      </c>
      <c r="AA116" s="1052">
        <f t="shared" ca="1" si="35"/>
        <v>0</v>
      </c>
      <c r="AB116" s="1053">
        <f t="shared" ca="1" si="55"/>
        <v>0</v>
      </c>
    </row>
    <row r="117" spans="2:28" ht="15.75" thickBot="1" x14ac:dyDescent="0.3">
      <c r="B117" s="1054">
        <f t="shared" ca="1" si="40"/>
        <v>14000.01</v>
      </c>
      <c r="C117" s="1055"/>
      <c r="D117" s="1056">
        <f t="shared" si="42"/>
        <v>0.39999999999999969</v>
      </c>
      <c r="E117" s="1055">
        <f t="shared" ca="1" si="36"/>
        <v>5600</v>
      </c>
      <c r="F117" s="1057">
        <f ca="1">IF(($D$9&gt;=B117),1,0)</f>
        <v>0</v>
      </c>
      <c r="G117" s="1058">
        <f t="shared" ca="1" si="52"/>
        <v>0</v>
      </c>
      <c r="I117" s="1054">
        <f t="shared" ca="1" si="43"/>
        <v>14000.01</v>
      </c>
      <c r="J117" s="1055"/>
      <c r="K117" s="1056">
        <f t="shared" si="45"/>
        <v>0.39999999999999969</v>
      </c>
      <c r="L117" s="1055">
        <f t="shared" ca="1" si="37"/>
        <v>5600</v>
      </c>
      <c r="M117" s="1057">
        <f ca="1">IF(($D$9&gt;=I117),1,0)</f>
        <v>0</v>
      </c>
      <c r="N117" s="1058">
        <f t="shared" ca="1" si="53"/>
        <v>0</v>
      </c>
      <c r="P117" s="1054">
        <f t="shared" ca="1" si="46"/>
        <v>14080.01</v>
      </c>
      <c r="Q117" s="1055"/>
      <c r="R117" s="1056">
        <f t="shared" si="48"/>
        <v>0.39999999999999969</v>
      </c>
      <c r="S117" s="1055">
        <f t="shared" ca="1" si="38"/>
        <v>5630</v>
      </c>
      <c r="T117" s="1057">
        <f ca="1">IF(($D$9&gt;=P117),1,0)</f>
        <v>0</v>
      </c>
      <c r="U117" s="1058">
        <f t="shared" ca="1" si="54"/>
        <v>0</v>
      </c>
      <c r="W117" s="1054">
        <f t="shared" ca="1" si="49"/>
        <v>13940.01</v>
      </c>
      <c r="X117" s="1055"/>
      <c r="Y117" s="1056">
        <f t="shared" si="51"/>
        <v>0.39999999999999969</v>
      </c>
      <c r="Z117" s="1055">
        <f t="shared" ca="1" si="39"/>
        <v>5580</v>
      </c>
      <c r="AA117" s="1057">
        <f ca="1">IF(($D$9&gt;=W117),1,0)</f>
        <v>0</v>
      </c>
      <c r="AB117" s="1058">
        <f t="shared" ca="1" si="55"/>
        <v>0</v>
      </c>
    </row>
  </sheetData>
  <mergeCells count="4">
    <mergeCell ref="B14:C14"/>
    <mergeCell ref="I14:J14"/>
    <mergeCell ref="P14:Q14"/>
    <mergeCell ref="W14:X14"/>
  </mergeCells>
  <phoneticPr fontId="19" type="noConversion"/>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U20"/>
  <sheetViews>
    <sheetView zoomScale="160" zoomScaleNormal="160" workbookViewId="0">
      <selection activeCell="F13" sqref="F13"/>
    </sheetView>
  </sheetViews>
  <sheetFormatPr defaultColWidth="9.140625" defaultRowHeight="12.75" x14ac:dyDescent="0.2"/>
  <cols>
    <col min="1" max="1" width="3.28515625" style="32" customWidth="1"/>
    <col min="2" max="2" width="3.42578125" style="32" bestFit="1" customWidth="1"/>
    <col min="3" max="3" width="7.42578125" style="32" customWidth="1"/>
    <col min="4" max="4" width="24.140625" style="32" bestFit="1" customWidth="1"/>
    <col min="5" max="5" width="25" style="32" customWidth="1"/>
    <col min="6" max="6" width="26.28515625" style="32" bestFit="1" customWidth="1"/>
    <col min="7" max="7" width="14.28515625" style="32" bestFit="1" customWidth="1"/>
    <col min="8" max="8" width="16.28515625" style="32" bestFit="1" customWidth="1"/>
    <col min="9" max="9" width="24.28515625" style="32" bestFit="1" customWidth="1"/>
    <col min="10" max="10" width="9.140625" style="32"/>
    <col min="11" max="11" width="16.28515625" style="32" bestFit="1" customWidth="1"/>
    <col min="12" max="12" width="23.42578125" style="32" bestFit="1" customWidth="1"/>
    <col min="13" max="13" width="25.85546875" style="32" bestFit="1" customWidth="1"/>
    <col min="14" max="14" width="23.28515625" style="32" bestFit="1" customWidth="1"/>
    <col min="15" max="15" width="23.42578125" style="32" bestFit="1" customWidth="1"/>
    <col min="16" max="16" width="16.7109375" style="32" bestFit="1" customWidth="1"/>
    <col min="17" max="20" width="4.7109375" style="32" bestFit="1" customWidth="1"/>
    <col min="21" max="21" width="5.7109375" style="32" bestFit="1" customWidth="1"/>
    <col min="22" max="16384" width="9.140625" style="32"/>
  </cols>
  <sheetData>
    <row r="2" spans="2:21" ht="20.25" x14ac:dyDescent="0.3">
      <c r="B2" s="33" t="s">
        <v>4</v>
      </c>
      <c r="C2" s="102"/>
      <c r="D2" s="102"/>
      <c r="E2" s="102"/>
      <c r="F2" s="102"/>
      <c r="G2" s="102"/>
      <c r="H2" s="102"/>
      <c r="I2" s="102"/>
      <c r="J2" s="102"/>
      <c r="K2" s="102"/>
      <c r="L2" s="102"/>
      <c r="M2" s="102"/>
      <c r="N2" s="102"/>
      <c r="O2" s="102"/>
      <c r="P2" s="102"/>
      <c r="Q2" s="102"/>
      <c r="R2" s="102"/>
      <c r="S2" s="102"/>
      <c r="T2" s="102"/>
      <c r="U2" s="102"/>
    </row>
    <row r="3" spans="2:21" ht="15.75" x14ac:dyDescent="0.2">
      <c r="B3" s="1153" t="s">
        <v>75</v>
      </c>
      <c r="C3" s="1153"/>
      <c r="D3" s="1153"/>
      <c r="E3" s="1153"/>
      <c r="F3" s="1153"/>
      <c r="G3" s="1153"/>
      <c r="H3" s="1153"/>
      <c r="I3" s="102"/>
      <c r="J3" s="102"/>
      <c r="K3" s="102"/>
      <c r="L3" s="102"/>
      <c r="M3" s="102"/>
      <c r="N3" s="102"/>
      <c r="O3" s="102"/>
      <c r="P3" s="102"/>
      <c r="Q3" s="102"/>
      <c r="R3" s="102"/>
      <c r="S3" s="102"/>
      <c r="T3" s="102"/>
      <c r="U3" s="102"/>
    </row>
    <row r="4" spans="2:21" ht="16.5" thickBot="1" x14ac:dyDescent="0.3">
      <c r="B4" s="34"/>
      <c r="C4" s="34"/>
      <c r="D4" s="34"/>
      <c r="E4" s="34"/>
      <c r="F4" s="34"/>
      <c r="G4" s="34"/>
      <c r="H4" s="34"/>
      <c r="I4" s="102"/>
      <c r="J4" s="102"/>
      <c r="K4" s="102"/>
      <c r="L4" s="102"/>
      <c r="M4" s="102"/>
      <c r="N4" s="102"/>
      <c r="O4" s="102"/>
      <c r="P4" s="102"/>
      <c r="Q4" s="102"/>
      <c r="R4" s="102"/>
      <c r="S4" s="102"/>
      <c r="T4" s="102"/>
      <c r="U4" s="102"/>
    </row>
    <row r="5" spans="2:21" x14ac:dyDescent="0.2">
      <c r="B5" s="41" t="s">
        <v>51</v>
      </c>
      <c r="C5" s="42" t="s">
        <v>52</v>
      </c>
      <c r="D5" s="43" t="s">
        <v>53</v>
      </c>
      <c r="E5" s="43" t="s">
        <v>76</v>
      </c>
      <c r="F5" s="43" t="s">
        <v>77</v>
      </c>
      <c r="G5" s="90" t="s">
        <v>78</v>
      </c>
      <c r="H5" s="43" t="s">
        <v>79</v>
      </c>
      <c r="I5" s="91" t="s">
        <v>80</v>
      </c>
      <c r="J5" s="102"/>
      <c r="K5" s="102"/>
      <c r="L5" s="102"/>
      <c r="M5" s="102"/>
      <c r="N5" s="102"/>
      <c r="O5" s="102"/>
      <c r="P5" s="102"/>
      <c r="Q5" s="102"/>
      <c r="R5" s="102"/>
      <c r="S5" s="102"/>
      <c r="T5" s="102"/>
      <c r="U5" s="102"/>
    </row>
    <row r="6" spans="2:21" ht="15" x14ac:dyDescent="0.2">
      <c r="B6" s="141">
        <v>1</v>
      </c>
      <c r="C6" s="117" t="s">
        <v>141</v>
      </c>
      <c r="D6" s="117" t="s">
        <v>438</v>
      </c>
      <c r="E6" s="117" t="s">
        <v>442</v>
      </c>
      <c r="F6" s="117" t="s">
        <v>446</v>
      </c>
      <c r="G6" s="142"/>
      <c r="H6" s="143"/>
      <c r="I6" s="119"/>
      <c r="J6" s="102"/>
      <c r="K6" s="102"/>
      <c r="L6" s="102"/>
      <c r="M6" s="102"/>
      <c r="N6" s="102"/>
      <c r="O6" s="102"/>
      <c r="P6" s="102"/>
      <c r="Q6" s="102"/>
      <c r="R6" s="102"/>
      <c r="S6" s="102"/>
      <c r="T6" s="102"/>
      <c r="U6" s="102"/>
    </row>
    <row r="7" spans="2:21" ht="15" x14ac:dyDescent="0.25">
      <c r="B7" s="144">
        <v>2</v>
      </c>
      <c r="C7" s="118" t="s">
        <v>269</v>
      </c>
      <c r="D7" s="117" t="s">
        <v>441</v>
      </c>
      <c r="E7" s="117" t="s">
        <v>445</v>
      </c>
      <c r="F7" s="117" t="s">
        <v>449</v>
      </c>
      <c r="G7" s="145"/>
      <c r="H7" s="118"/>
      <c r="I7" s="130"/>
      <c r="J7" s="102"/>
      <c r="K7" s="102"/>
      <c r="L7" s="102"/>
      <c r="M7" s="102"/>
      <c r="N7" s="102"/>
      <c r="O7" s="102"/>
      <c r="P7" s="102"/>
      <c r="Q7" s="102"/>
      <c r="R7" s="102"/>
      <c r="S7" s="102"/>
      <c r="T7" s="102"/>
      <c r="U7" s="102"/>
    </row>
    <row r="8" spans="2:21" ht="15" x14ac:dyDescent="0.2">
      <c r="B8" s="141">
        <v>3</v>
      </c>
      <c r="C8" s="117" t="s">
        <v>270</v>
      </c>
      <c r="D8" s="117" t="s">
        <v>439</v>
      </c>
      <c r="E8" s="117" t="s">
        <v>443</v>
      </c>
      <c r="F8" s="117" t="s">
        <v>447</v>
      </c>
      <c r="G8" s="142"/>
      <c r="H8" s="117"/>
      <c r="I8" s="89"/>
      <c r="J8" s="102"/>
      <c r="K8" s="102"/>
      <c r="L8" s="102"/>
      <c r="M8" s="102"/>
      <c r="N8" s="102"/>
      <c r="O8" s="102"/>
      <c r="P8" s="102"/>
      <c r="Q8" s="102"/>
      <c r="R8" s="102"/>
      <c r="S8" s="102"/>
      <c r="T8" s="102"/>
      <c r="U8" s="102"/>
    </row>
    <row r="9" spans="2:21" ht="15" x14ac:dyDescent="0.2">
      <c r="B9" s="144">
        <v>4</v>
      </c>
      <c r="C9" s="118" t="s">
        <v>271</v>
      </c>
      <c r="D9" s="118" t="s">
        <v>440</v>
      </c>
      <c r="E9" s="118" t="s">
        <v>444</v>
      </c>
      <c r="F9" s="118" t="s">
        <v>448</v>
      </c>
      <c r="G9" s="145"/>
      <c r="H9" s="118"/>
      <c r="I9" s="120"/>
      <c r="J9" s="102"/>
      <c r="K9" s="102"/>
      <c r="L9" s="102"/>
      <c r="M9" s="102"/>
      <c r="N9" s="102"/>
      <c r="O9" s="102"/>
      <c r="P9" s="102"/>
      <c r="Q9" s="102"/>
      <c r="R9" s="102"/>
      <c r="S9" s="102"/>
      <c r="T9" s="102"/>
      <c r="U9" s="102"/>
    </row>
    <row r="13" spans="2:21" ht="15" x14ac:dyDescent="0.25">
      <c r="B13" s="102"/>
      <c r="C13" s="102"/>
      <c r="D13" s="102"/>
      <c r="E13" s="102"/>
      <c r="F13" s="102"/>
      <c r="G13" s="102"/>
      <c r="H13" s="102"/>
      <c r="I13" s="102"/>
      <c r="J13" s="102"/>
      <c r="K13" s="35"/>
      <c r="L13" s="35"/>
      <c r="M13" s="35"/>
      <c r="N13" s="35"/>
      <c r="O13" s="35"/>
      <c r="P13" s="35"/>
      <c r="Q13" s="35"/>
      <c r="R13" s="35"/>
      <c r="S13" s="35"/>
      <c r="T13" s="35"/>
      <c r="U13" s="35"/>
    </row>
    <row r="14" spans="2:21" ht="15" x14ac:dyDescent="0.25">
      <c r="D14" s="102"/>
      <c r="E14" s="102"/>
      <c r="F14" s="102"/>
      <c r="G14" s="102"/>
      <c r="H14" s="102"/>
      <c r="I14" s="102"/>
      <c r="J14" s="102"/>
      <c r="K14" s="35"/>
      <c r="L14" s="35"/>
      <c r="M14" s="35"/>
      <c r="N14" s="35"/>
      <c r="O14" s="35"/>
      <c r="P14" s="35"/>
      <c r="Q14" s="35"/>
      <c r="R14" s="35"/>
      <c r="S14" s="35"/>
      <c r="T14" s="35"/>
      <c r="U14" s="35"/>
    </row>
    <row r="15" spans="2:21" ht="15" x14ac:dyDescent="0.25">
      <c r="D15" s="102"/>
      <c r="E15" s="102"/>
      <c r="F15" s="102"/>
      <c r="G15" s="102"/>
      <c r="H15" s="102"/>
      <c r="I15" s="102"/>
      <c r="J15" s="102"/>
      <c r="K15" s="35"/>
      <c r="L15" s="35"/>
      <c r="M15" s="35"/>
      <c r="N15" s="35"/>
      <c r="O15" s="35"/>
      <c r="P15" s="35"/>
      <c r="Q15" s="35"/>
      <c r="R15" s="35"/>
      <c r="S15" s="35"/>
      <c r="T15" s="35"/>
      <c r="U15" s="35"/>
    </row>
    <row r="16" spans="2:21" ht="15" x14ac:dyDescent="0.25">
      <c r="D16" s="102"/>
      <c r="E16" s="102"/>
      <c r="F16" s="102"/>
      <c r="G16" s="102"/>
      <c r="H16" s="102"/>
      <c r="I16" s="102"/>
      <c r="J16" s="102"/>
      <c r="K16" s="35"/>
      <c r="L16" s="35"/>
      <c r="M16" s="35"/>
      <c r="N16" s="35"/>
      <c r="O16" s="35"/>
      <c r="P16" s="35"/>
      <c r="Q16" s="35"/>
      <c r="R16" s="35"/>
      <c r="S16" s="35"/>
      <c r="T16" s="35"/>
      <c r="U16" s="35"/>
    </row>
    <row r="17" spans="4:21" ht="15" x14ac:dyDescent="0.25">
      <c r="D17" s="102"/>
      <c r="E17" s="102"/>
      <c r="F17" s="102"/>
      <c r="G17" s="102"/>
      <c r="H17" s="102"/>
      <c r="I17" s="102"/>
      <c r="J17" s="102"/>
      <c r="K17" s="35"/>
      <c r="L17" s="35"/>
      <c r="M17" s="35"/>
      <c r="N17" s="35"/>
      <c r="O17" s="35"/>
      <c r="P17" s="35"/>
      <c r="Q17" s="35"/>
      <c r="R17" s="35"/>
      <c r="S17" s="35"/>
      <c r="T17" s="35"/>
      <c r="U17" s="35"/>
    </row>
    <row r="18" spans="4:21" ht="15" x14ac:dyDescent="0.25">
      <c r="D18" s="102"/>
      <c r="E18" s="102"/>
      <c r="F18" s="102"/>
      <c r="G18" s="102"/>
      <c r="H18" s="102"/>
      <c r="I18" s="102"/>
      <c r="J18" s="102"/>
      <c r="K18" s="35"/>
      <c r="L18" s="35"/>
      <c r="M18" s="35"/>
      <c r="N18" s="35"/>
      <c r="O18" s="35"/>
      <c r="P18" s="35"/>
      <c r="Q18" s="35"/>
      <c r="R18" s="35"/>
      <c r="S18" s="35"/>
      <c r="T18" s="35"/>
      <c r="U18" s="35"/>
    </row>
    <row r="19" spans="4:21" ht="15" x14ac:dyDescent="0.25">
      <c r="D19" s="102"/>
      <c r="E19" s="102"/>
      <c r="F19" s="102"/>
      <c r="G19" s="102"/>
      <c r="H19" s="102"/>
      <c r="I19" s="102"/>
      <c r="J19" s="102"/>
      <c r="K19" s="35"/>
      <c r="L19" s="35"/>
      <c r="M19" s="35"/>
      <c r="N19" s="35"/>
      <c r="O19" s="35"/>
      <c r="P19" s="35"/>
      <c r="Q19" s="35"/>
      <c r="R19" s="35"/>
      <c r="S19" s="35"/>
      <c r="T19" s="35"/>
      <c r="U19" s="35"/>
    </row>
    <row r="20" spans="4:21" ht="15" x14ac:dyDescent="0.25">
      <c r="D20" s="102"/>
      <c r="E20" s="102"/>
      <c r="F20" s="102"/>
      <c r="G20" s="102"/>
      <c r="H20" s="102"/>
      <c r="I20" s="102"/>
      <c r="J20" s="102"/>
      <c r="K20" s="35"/>
      <c r="L20" s="35"/>
      <c r="M20" s="35"/>
      <c r="N20" s="35"/>
      <c r="O20" s="35"/>
      <c r="P20" s="35"/>
      <c r="Q20" s="35"/>
      <c r="R20" s="35"/>
      <c r="S20" s="35"/>
      <c r="T20" s="35"/>
      <c r="U20" s="35"/>
    </row>
  </sheetData>
  <mergeCells count="1">
    <mergeCell ref="B3:H3"/>
  </mergeCells>
  <phoneticPr fontId="19" type="noConversion"/>
  <pageMargins left="0.70866141732283472" right="0.70866141732283472" top="0.74803149606299213" bottom="0.74803149606299213" header="0.31496062992125984" footer="0.31496062992125984"/>
  <pageSetup paperSize="9" scale="43" orientation="landscape" r:id="rId1"/>
  <headerFooter>
    <oddHeader>&amp;LProgram izvajanja koncesije "Celovita energetska prenova 7 objektov UKC LJ"&amp;R&amp;A</oddHeader>
    <oddFooter>&amp;RStran &amp;P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P62"/>
  <sheetViews>
    <sheetView tabSelected="1" topLeftCell="A13" zoomScale="85" zoomScaleNormal="85" workbookViewId="0">
      <selection activeCell="G20" sqref="G20"/>
    </sheetView>
  </sheetViews>
  <sheetFormatPr defaultColWidth="9.140625" defaultRowHeight="12.75" x14ac:dyDescent="0.25"/>
  <cols>
    <col min="1" max="1" width="2.7109375" style="36" customWidth="1"/>
    <col min="2" max="2" width="45.28515625" style="36" customWidth="1"/>
    <col min="3" max="3" width="9.85546875" style="36" bestFit="1" customWidth="1"/>
    <col min="4" max="7" width="15.7109375" style="36" customWidth="1"/>
    <col min="8" max="8" width="9.140625" style="36"/>
    <col min="9" max="9" width="15.85546875" style="36" bestFit="1" customWidth="1"/>
    <col min="10" max="16384" width="9.140625" style="36"/>
  </cols>
  <sheetData>
    <row r="1" spans="2:16" ht="18" customHeight="1" x14ac:dyDescent="0.25">
      <c r="B1" s="103"/>
      <c r="C1" s="103"/>
      <c r="D1" s="103"/>
      <c r="E1" s="103"/>
      <c r="F1" s="103"/>
      <c r="G1" s="103"/>
      <c r="H1" s="103"/>
      <c r="I1" s="103"/>
      <c r="J1" s="103"/>
      <c r="K1" s="103"/>
      <c r="L1" s="103"/>
      <c r="M1" s="103"/>
      <c r="N1" s="103"/>
      <c r="O1" s="103"/>
      <c r="P1" s="103"/>
    </row>
    <row r="2" spans="2:16" ht="21.75" customHeight="1" x14ac:dyDescent="0.25">
      <c r="B2" s="37" t="s">
        <v>5</v>
      </c>
      <c r="C2" s="103"/>
      <c r="D2" s="103"/>
      <c r="E2" s="103"/>
      <c r="F2" s="103"/>
      <c r="G2" s="103"/>
      <c r="H2" s="103"/>
      <c r="I2" s="103"/>
      <c r="J2" s="242"/>
      <c r="K2" s="103"/>
      <c r="L2" s="103"/>
      <c r="M2" s="103"/>
      <c r="N2" s="103"/>
      <c r="O2" s="103"/>
      <c r="P2" s="103"/>
    </row>
    <row r="3" spans="2:16" ht="15" customHeight="1" x14ac:dyDescent="0.25">
      <c r="B3" s="103"/>
      <c r="C3" s="103"/>
      <c r="D3" s="103"/>
      <c r="E3" s="103"/>
      <c r="F3" s="103"/>
      <c r="G3" s="103"/>
      <c r="H3" s="103"/>
      <c r="I3" s="103"/>
      <c r="J3" s="103"/>
      <c r="K3" s="103"/>
      <c r="L3" s="103"/>
      <c r="M3" s="103"/>
      <c r="N3" s="103"/>
      <c r="O3" s="103"/>
      <c r="P3" s="103"/>
    </row>
    <row r="4" spans="2:16" ht="15" customHeight="1" x14ac:dyDescent="0.25">
      <c r="B4" s="1" t="s">
        <v>4</v>
      </c>
      <c r="C4" s="1"/>
      <c r="D4" s="1"/>
      <c r="E4" s="1"/>
      <c r="F4" s="1"/>
      <c r="G4" s="1"/>
      <c r="H4" s="103"/>
      <c r="I4"/>
      <c r="J4" s="242"/>
      <c r="K4" s="242"/>
      <c r="L4" s="242"/>
      <c r="M4" s="242"/>
      <c r="N4" s="242"/>
      <c r="O4" s="242"/>
      <c r="P4" s="242"/>
    </row>
    <row r="5" spans="2:16" ht="15" customHeight="1" x14ac:dyDescent="0.25">
      <c r="B5" s="92" t="s">
        <v>51</v>
      </c>
      <c r="C5" s="92"/>
      <c r="D5" s="146">
        <v>1</v>
      </c>
      <c r="E5" s="123">
        <v>2</v>
      </c>
      <c r="F5" s="146">
        <v>3</v>
      </c>
      <c r="G5" s="123">
        <v>4</v>
      </c>
      <c r="H5" s="103"/>
      <c r="I5" s="103"/>
      <c r="J5" s="103"/>
      <c r="K5" s="103"/>
      <c r="L5" s="103"/>
      <c r="M5" s="103"/>
      <c r="N5" s="103"/>
      <c r="O5" s="103"/>
      <c r="P5" s="103"/>
    </row>
    <row r="6" spans="2:16" ht="15" customHeight="1" x14ac:dyDescent="0.25">
      <c r="B6" s="92" t="s">
        <v>52</v>
      </c>
      <c r="C6" s="92"/>
      <c r="D6" s="146" t="str">
        <f>VLOOKUP(D$5,'Osnovni podatki'!$B$6:$I$9,2,FALSE)</f>
        <v>OB001</v>
      </c>
      <c r="E6" s="123" t="str">
        <f>VLOOKUP(E$5,'Osnovni podatki'!$B$6:$I$9,2,FALSE)</f>
        <v>OB002</v>
      </c>
      <c r="F6" s="146" t="str">
        <f>VLOOKUP(F$5,'Osnovni podatki'!$B$6:$I$9,2,FALSE)</f>
        <v>OB003</v>
      </c>
      <c r="G6" s="123" t="str">
        <f>VLOOKUP(G$5,'Osnovni podatki'!$B$6:$I$9,2,FALSE)</f>
        <v>OB004</v>
      </c>
      <c r="H6" s="103"/>
      <c r="I6" s="103"/>
      <c r="J6" s="103"/>
      <c r="K6" s="103"/>
      <c r="L6" s="103"/>
      <c r="M6" s="103"/>
      <c r="N6" s="103"/>
      <c r="O6" s="103"/>
      <c r="P6" s="103"/>
    </row>
    <row r="7" spans="2:16" ht="25.5" x14ac:dyDescent="0.25">
      <c r="B7" s="92" t="s">
        <v>53</v>
      </c>
      <c r="C7" s="92"/>
      <c r="D7" s="147" t="str">
        <f>VLOOKUP(D$5,'Osnovni podatki'!$B$6:$I$9,3,FALSE)</f>
        <v>POŠ Rakitna</v>
      </c>
      <c r="E7" s="148" t="str">
        <f>VLOOKUP(E$5,'Osnovni podatki'!$B$6:$I$9,3,FALSE)</f>
        <v>Zadružni dom Vnanje Gorice</v>
      </c>
      <c r="F7" s="147" t="str">
        <f>VLOOKUP(F$5,'Osnovni podatki'!$B$6:$I$9,3,FALSE)</f>
        <v>Vrtec Vnanje Gorice</v>
      </c>
      <c r="G7" s="148" t="str">
        <f>VLOOKUP(G$5,'Osnovni podatki'!$B$6:$I$9,3,FALSE)</f>
        <v>Zdravstveni dom Podpeč</v>
      </c>
      <c r="H7" s="103"/>
      <c r="I7" s="103"/>
      <c r="J7" s="103"/>
      <c r="K7"/>
      <c r="L7" s="103"/>
      <c r="M7" s="103"/>
      <c r="N7" s="103"/>
      <c r="O7" s="103"/>
      <c r="P7" s="103"/>
    </row>
    <row r="8" spans="2:16" ht="15" customHeight="1" x14ac:dyDescent="0.25">
      <c r="B8" s="92" t="s">
        <v>54</v>
      </c>
      <c r="C8" s="5" t="s">
        <v>55</v>
      </c>
      <c r="D8" s="44">
        <f>D9</f>
        <v>954.3</v>
      </c>
      <c r="E8" s="66">
        <f t="shared" ref="E8:G8" si="0">E9</f>
        <v>630.5</v>
      </c>
      <c r="F8" s="44">
        <f t="shared" si="0"/>
        <v>923.5</v>
      </c>
      <c r="G8" s="66">
        <f t="shared" si="0"/>
        <v>548.5</v>
      </c>
      <c r="H8" s="103"/>
      <c r="I8" s="103"/>
      <c r="J8" s="103"/>
      <c r="K8" s="103"/>
      <c r="L8" s="103"/>
      <c r="M8" s="103"/>
      <c r="N8" s="103"/>
      <c r="O8" s="103"/>
      <c r="P8" s="103"/>
    </row>
    <row r="9" spans="2:16" ht="15" customHeight="1" x14ac:dyDescent="0.25">
      <c r="B9" s="92" t="s">
        <v>380</v>
      </c>
      <c r="C9" s="5" t="s">
        <v>55</v>
      </c>
      <c r="D9" s="1062">
        <v>954.3</v>
      </c>
      <c r="E9" s="1062">
        <v>630.5</v>
      </c>
      <c r="F9" s="1062">
        <v>923.5</v>
      </c>
      <c r="G9" s="1062">
        <v>548.5</v>
      </c>
      <c r="H9" s="103"/>
      <c r="I9" s="103"/>
      <c r="J9" s="103"/>
      <c r="K9" s="103"/>
      <c r="L9" s="103"/>
      <c r="M9" s="103"/>
      <c r="N9" s="103"/>
      <c r="O9" s="103"/>
      <c r="P9" s="103"/>
    </row>
    <row r="10" spans="2:16" ht="15" customHeight="1" x14ac:dyDescent="0.25">
      <c r="B10" s="92" t="s">
        <v>379</v>
      </c>
      <c r="C10" s="5" t="s">
        <v>55</v>
      </c>
      <c r="D10" s="1062">
        <v>0</v>
      </c>
      <c r="E10" s="1062">
        <v>0</v>
      </c>
      <c r="F10" s="1062">
        <v>0</v>
      </c>
      <c r="G10" s="1062">
        <v>0</v>
      </c>
      <c r="H10" s="103"/>
      <c r="I10" s="103"/>
      <c r="J10" s="103"/>
      <c r="K10" s="103"/>
      <c r="L10" s="103"/>
      <c r="M10" s="103"/>
      <c r="N10" s="103"/>
      <c r="O10" s="103"/>
      <c r="P10" s="103"/>
    </row>
    <row r="11" spans="2:16" ht="15" customHeight="1" x14ac:dyDescent="0.25">
      <c r="B11" s="92" t="s">
        <v>56</v>
      </c>
      <c r="C11" s="5" t="s">
        <v>55</v>
      </c>
      <c r="D11" s="121" t="s">
        <v>57</v>
      </c>
      <c r="E11" s="45" t="s">
        <v>57</v>
      </c>
      <c r="F11" s="44" t="s">
        <v>57</v>
      </c>
      <c r="G11" s="45" t="s">
        <v>57</v>
      </c>
      <c r="H11" s="103"/>
      <c r="I11" s="103"/>
      <c r="J11" s="103"/>
      <c r="K11" s="103"/>
      <c r="L11" s="103"/>
      <c r="M11" s="103"/>
      <c r="N11" s="103"/>
      <c r="O11" s="103"/>
      <c r="P11" s="103"/>
    </row>
    <row r="12" spans="2:16" ht="15" customHeight="1" x14ac:dyDescent="0.25">
      <c r="B12" s="92"/>
      <c r="C12" s="92"/>
      <c r="D12" s="44"/>
      <c r="E12" s="45"/>
      <c r="F12" s="44"/>
      <c r="G12" s="45"/>
      <c r="H12" s="103"/>
      <c r="I12" s="103"/>
      <c r="J12" s="103"/>
      <c r="K12" s="103"/>
      <c r="L12" s="103"/>
      <c r="M12" s="103"/>
      <c r="N12" s="103"/>
      <c r="O12" s="103"/>
      <c r="P12" s="103"/>
    </row>
    <row r="13" spans="2:16" ht="15" customHeight="1" x14ac:dyDescent="0.25">
      <c r="B13" s="92" t="s">
        <v>58</v>
      </c>
      <c r="C13" s="5" t="s">
        <v>59</v>
      </c>
      <c r="D13" s="44"/>
      <c r="E13" s="45"/>
      <c r="F13" s="44"/>
      <c r="G13" s="45"/>
      <c r="H13" s="103"/>
      <c r="I13" s="103"/>
      <c r="J13" s="103"/>
      <c r="K13" s="103"/>
      <c r="L13" s="103"/>
      <c r="M13" s="103"/>
      <c r="N13" s="103"/>
      <c r="O13" s="103"/>
      <c r="P13" s="103"/>
    </row>
    <row r="14" spans="2:16" ht="15" customHeight="1" x14ac:dyDescent="0.25">
      <c r="B14" s="92" t="s">
        <v>60</v>
      </c>
      <c r="C14" s="92"/>
      <c r="D14" s="1067">
        <v>1981</v>
      </c>
      <c r="E14" s="1068"/>
      <c r="F14" s="1067">
        <v>1980</v>
      </c>
      <c r="G14" s="1068">
        <v>1935</v>
      </c>
      <c r="H14" s="103"/>
      <c r="I14" s="103"/>
      <c r="J14" s="103"/>
      <c r="K14" s="103"/>
      <c r="L14" s="103"/>
      <c r="M14" s="103"/>
      <c r="N14" s="103"/>
      <c r="O14" s="103"/>
      <c r="P14" s="103"/>
    </row>
    <row r="15" spans="2:16" x14ac:dyDescent="0.25">
      <c r="B15" s="92" t="s">
        <v>61</v>
      </c>
      <c r="C15" s="92"/>
      <c r="D15" s="121" t="s">
        <v>57</v>
      </c>
      <c r="E15" s="45" t="s">
        <v>57</v>
      </c>
      <c r="F15" s="44" t="s">
        <v>57</v>
      </c>
      <c r="G15" s="45" t="s">
        <v>57</v>
      </c>
      <c r="H15" s="103"/>
      <c r="I15" s="103"/>
      <c r="J15" s="103"/>
      <c r="K15" s="103"/>
      <c r="L15" s="103"/>
      <c r="M15" s="103"/>
      <c r="N15" s="103"/>
      <c r="O15" s="103"/>
      <c r="P15" s="103"/>
    </row>
    <row r="16" spans="2:16" ht="27" customHeight="1" x14ac:dyDescent="0.25">
      <c r="B16" s="93" t="s">
        <v>62</v>
      </c>
      <c r="C16" s="93"/>
      <c r="D16" s="93"/>
      <c r="E16" s="93"/>
      <c r="F16" s="93"/>
      <c r="G16" s="93"/>
      <c r="H16" s="103"/>
      <c r="I16" s="103"/>
      <c r="J16" s="103"/>
      <c r="K16" s="103"/>
      <c r="L16" s="103"/>
      <c r="M16" s="103"/>
      <c r="N16" s="103"/>
      <c r="O16" s="103"/>
      <c r="P16" s="103"/>
    </row>
    <row r="17" spans="2:16" ht="32.25" customHeight="1" x14ac:dyDescent="0.25">
      <c r="B17" s="149" t="s">
        <v>63</v>
      </c>
      <c r="C17" s="149"/>
      <c r="D17" s="122" t="s">
        <v>41</v>
      </c>
      <c r="E17" s="122" t="s">
        <v>37</v>
      </c>
      <c r="F17" s="122" t="s">
        <v>37</v>
      </c>
      <c r="G17" s="123" t="s">
        <v>39</v>
      </c>
      <c r="H17" s="103"/>
      <c r="I17" s="103"/>
      <c r="J17" s="103"/>
      <c r="K17" s="38"/>
      <c r="L17" s="103"/>
      <c r="M17" s="103"/>
      <c r="N17" s="103"/>
      <c r="O17" s="103"/>
      <c r="P17" s="103"/>
    </row>
    <row r="18" spans="2:16" ht="32.25" customHeight="1" x14ac:dyDescent="0.25">
      <c r="B18" s="149" t="s">
        <v>272</v>
      </c>
      <c r="C18" s="150" t="s">
        <v>64</v>
      </c>
      <c r="D18" s="46">
        <v>142661</v>
      </c>
      <c r="E18" s="46">
        <v>98598</v>
      </c>
      <c r="F18" s="46">
        <v>185929</v>
      </c>
      <c r="G18" s="45">
        <v>75503</v>
      </c>
      <c r="H18" s="103"/>
      <c r="I18" s="103"/>
      <c r="J18" s="242"/>
      <c r="K18" s="242"/>
    </row>
    <row r="19" spans="2:16" ht="32.25" customHeight="1" x14ac:dyDescent="0.25">
      <c r="B19" s="149" t="s">
        <v>273</v>
      </c>
      <c r="C19" s="150" t="s">
        <v>64</v>
      </c>
      <c r="D19" s="46">
        <v>0</v>
      </c>
      <c r="E19" s="46">
        <v>0</v>
      </c>
      <c r="F19" s="46">
        <f>prilagoditve!K4</f>
        <v>27136.038337921291</v>
      </c>
      <c r="G19" s="45">
        <f>prilagoditve!K5</f>
        <v>4230.9046666943104</v>
      </c>
      <c r="H19" s="103"/>
      <c r="I19" s="103"/>
      <c r="J19" s="103"/>
      <c r="K19" s="103"/>
    </row>
    <row r="20" spans="2:16" ht="32.25" customHeight="1" x14ac:dyDescent="0.25">
      <c r="B20" s="149" t="s">
        <v>274</v>
      </c>
      <c r="C20" s="150" t="s">
        <v>64</v>
      </c>
      <c r="D20" s="46">
        <f>D18+D19</f>
        <v>142661</v>
      </c>
      <c r="E20" s="46">
        <f t="shared" ref="E20" si="1">E18+E19</f>
        <v>98598</v>
      </c>
      <c r="F20" s="46">
        <f t="shared" ref="F20:G20" si="2">F18+F19</f>
        <v>213065.03833792129</v>
      </c>
      <c r="G20" s="45">
        <f t="shared" si="2"/>
        <v>79733.904666694318</v>
      </c>
      <c r="H20" s="243"/>
      <c r="I20" s="103"/>
      <c r="J20" s="103"/>
      <c r="K20" s="103"/>
    </row>
    <row r="21" spans="2:16" ht="32.25" customHeight="1" x14ac:dyDescent="0.25">
      <c r="B21" s="479" t="s">
        <v>275</v>
      </c>
      <c r="C21" s="150" t="s">
        <v>64</v>
      </c>
      <c r="D21" s="46">
        <v>121262.09285762922</v>
      </c>
      <c r="E21" s="46">
        <v>98598.333334460243</v>
      </c>
      <c r="F21" s="46">
        <v>114346.601666826</v>
      </c>
      <c r="G21" s="45">
        <v>68570.582639552915</v>
      </c>
      <c r="H21" s="243"/>
      <c r="I21" s="103"/>
      <c r="J21" s="103"/>
      <c r="K21" s="103"/>
    </row>
    <row r="22" spans="2:16" ht="32.25" customHeight="1" x14ac:dyDescent="0.25">
      <c r="B22" s="479" t="s">
        <v>285</v>
      </c>
      <c r="C22" s="150" t="s">
        <v>64</v>
      </c>
      <c r="D22" s="46">
        <v>21399.192857228685</v>
      </c>
      <c r="E22" s="46">
        <v>0</v>
      </c>
      <c r="F22" s="46">
        <v>37185.822222235496</v>
      </c>
      <c r="G22" s="45">
        <v>0</v>
      </c>
      <c r="H22" s="103"/>
      <c r="I22" s="103"/>
      <c r="J22" s="103"/>
      <c r="K22" s="103"/>
    </row>
    <row r="23" spans="2:16" ht="32.25" customHeight="1" x14ac:dyDescent="0.25">
      <c r="B23" s="479" t="s">
        <v>276</v>
      </c>
      <c r="C23" s="150" t="s">
        <v>64</v>
      </c>
      <c r="D23" s="46">
        <v>0</v>
      </c>
      <c r="E23" s="46">
        <v>0</v>
      </c>
      <c r="F23" s="46">
        <v>61533.003524759268</v>
      </c>
      <c r="G23" s="45">
        <v>11163.41979391827</v>
      </c>
      <c r="H23" s="103"/>
      <c r="I23" s="103"/>
      <c r="J23" s="103"/>
      <c r="K23" s="103"/>
    </row>
    <row r="24" spans="2:16" ht="32.25" customHeight="1" thickBot="1" x14ac:dyDescent="0.3">
      <c r="B24" s="481" t="s">
        <v>378</v>
      </c>
      <c r="C24" s="482" t="s">
        <v>64</v>
      </c>
      <c r="D24" s="483">
        <v>0</v>
      </c>
      <c r="E24" s="483">
        <v>0</v>
      </c>
      <c r="F24" s="483">
        <v>0</v>
      </c>
      <c r="G24" s="484">
        <v>0</v>
      </c>
      <c r="H24" s="87"/>
      <c r="I24" s="103"/>
      <c r="J24" s="103"/>
      <c r="K24" s="103"/>
    </row>
    <row r="25" spans="2:16" ht="32.25" customHeight="1" x14ac:dyDescent="0.25">
      <c r="B25" s="487" t="s">
        <v>286</v>
      </c>
      <c r="C25" s="203" t="s">
        <v>64</v>
      </c>
      <c r="D25" s="488">
        <v>119835</v>
      </c>
      <c r="E25" s="488">
        <v>69069</v>
      </c>
      <c r="F25" s="488">
        <v>167336</v>
      </c>
      <c r="G25" s="489">
        <v>61912</v>
      </c>
      <c r="H25" s="103"/>
      <c r="I25" s="103"/>
      <c r="J25" s="103"/>
      <c r="K25" s="103"/>
    </row>
    <row r="26" spans="2:16" ht="32.25" customHeight="1" x14ac:dyDescent="0.25">
      <c r="B26" s="171" t="s">
        <v>287</v>
      </c>
      <c r="C26" s="150" t="s">
        <v>64</v>
      </c>
      <c r="D26" s="46">
        <v>0</v>
      </c>
      <c r="E26" s="46">
        <v>0</v>
      </c>
      <c r="F26" s="46">
        <f>prilagoditve!I4</f>
        <v>24422.434504129164</v>
      </c>
      <c r="G26" s="45">
        <f>prilagoditve!K5</f>
        <v>4230.9046666943104</v>
      </c>
      <c r="H26" s="103"/>
      <c r="I26" s="103"/>
      <c r="J26" s="103"/>
      <c r="K26" s="103"/>
    </row>
    <row r="27" spans="2:16" ht="32.25" customHeight="1" x14ac:dyDescent="0.25">
      <c r="B27" s="171" t="s">
        <v>288</v>
      </c>
      <c r="C27" s="150" t="s">
        <v>64</v>
      </c>
      <c r="D27" s="46">
        <f>D25+D26</f>
        <v>119835</v>
      </c>
      <c r="E27" s="46">
        <f t="shared" ref="E27" si="3">E25+E26</f>
        <v>69069</v>
      </c>
      <c r="F27" s="46">
        <f t="shared" ref="F27:G27" si="4">F25+F26</f>
        <v>191758.43450412917</v>
      </c>
      <c r="G27" s="45">
        <f t="shared" si="4"/>
        <v>66142.904666694318</v>
      </c>
      <c r="H27" s="103"/>
      <c r="I27" s="103"/>
      <c r="J27" s="103"/>
      <c r="K27" s="103"/>
    </row>
    <row r="28" spans="2:16" ht="32.25" customHeight="1" x14ac:dyDescent="0.25">
      <c r="B28" s="490" t="s">
        <v>289</v>
      </c>
      <c r="C28" s="150" t="s">
        <v>64</v>
      </c>
      <c r="D28" s="46">
        <v>101859.95399999998</v>
      </c>
      <c r="E28" s="46">
        <v>69069.233504511591</v>
      </c>
      <c r="F28" s="46">
        <v>102911.87999999999</v>
      </c>
      <c r="G28" s="45">
        <v>56227.46</v>
      </c>
      <c r="H28" s="103"/>
      <c r="I28" s="103"/>
      <c r="J28" s="103"/>
      <c r="K28" s="103"/>
    </row>
    <row r="29" spans="2:16" ht="32.25" customHeight="1" x14ac:dyDescent="0.25">
      <c r="B29" s="490" t="s">
        <v>290</v>
      </c>
      <c r="C29" s="150" t="s">
        <v>64</v>
      </c>
      <c r="D29" s="46">
        <v>17975.285999999996</v>
      </c>
      <c r="E29" s="46">
        <v>0</v>
      </c>
      <c r="F29" s="46">
        <v>33467.22</v>
      </c>
      <c r="G29" s="45">
        <v>0</v>
      </c>
      <c r="H29" s="103"/>
      <c r="I29" s="103"/>
      <c r="J29" s="103"/>
      <c r="K29" s="103"/>
    </row>
    <row r="30" spans="2:16" ht="32.25" customHeight="1" x14ac:dyDescent="0.25">
      <c r="B30" s="490" t="s">
        <v>291</v>
      </c>
      <c r="C30" s="150" t="s">
        <v>64</v>
      </c>
      <c r="D30" s="46">
        <v>0</v>
      </c>
      <c r="E30" s="46">
        <v>0</v>
      </c>
      <c r="F30" s="46">
        <v>55379.670077390394</v>
      </c>
      <c r="G30" s="45">
        <v>9153.9362181776614</v>
      </c>
      <c r="H30" s="103"/>
      <c r="I30" s="103"/>
      <c r="J30" s="103"/>
      <c r="K30" s="103"/>
    </row>
    <row r="31" spans="2:16" ht="32.25" customHeight="1" thickBot="1" x14ac:dyDescent="0.3">
      <c r="B31" s="491"/>
      <c r="C31" s="217"/>
      <c r="D31" s="492"/>
      <c r="E31" s="492"/>
      <c r="F31" s="492"/>
      <c r="G31" s="493"/>
      <c r="H31" s="103"/>
      <c r="I31" s="103"/>
      <c r="J31" s="103"/>
      <c r="K31" s="103"/>
    </row>
    <row r="32" spans="2:16" ht="32.25" customHeight="1" thickBot="1" x14ac:dyDescent="0.3">
      <c r="B32" s="494" t="s">
        <v>268</v>
      </c>
      <c r="C32" s="495" t="s">
        <v>66</v>
      </c>
      <c r="D32" s="496">
        <f t="shared" ref="D32:G32" si="5">D34/D18*1000</f>
        <v>115.00003504812108</v>
      </c>
      <c r="E32" s="496">
        <f t="shared" ref="E32" si="6">E34/E18*1000</f>
        <v>99.999999999999986</v>
      </c>
      <c r="F32" s="496">
        <f t="shared" si="5"/>
        <v>100</v>
      </c>
      <c r="G32" s="497">
        <f t="shared" si="5"/>
        <v>105.0000662225342</v>
      </c>
      <c r="H32" s="103"/>
      <c r="I32" s="103"/>
      <c r="J32" s="103"/>
      <c r="K32" s="103"/>
    </row>
    <row r="33" spans="2:11" ht="32.25" customHeight="1" thickBot="1" x14ac:dyDescent="0.3">
      <c r="B33" s="500" t="s">
        <v>292</v>
      </c>
      <c r="C33" s="501" t="s">
        <v>66</v>
      </c>
      <c r="D33" s="502">
        <f>D34/D25*1000</f>
        <v>136.90507781532941</v>
      </c>
      <c r="E33" s="502">
        <f t="shared" ref="E33" si="7">E34/E25*1000</f>
        <v>142.75289927463839</v>
      </c>
      <c r="F33" s="502">
        <f t="shared" ref="F33:G33" si="8">F34/F25*1000</f>
        <v>111.11117751111536</v>
      </c>
      <c r="G33" s="503">
        <f t="shared" si="8"/>
        <v>128.04981263729161</v>
      </c>
      <c r="H33" s="103"/>
      <c r="I33" s="103"/>
      <c r="J33" s="103"/>
      <c r="K33" s="103"/>
    </row>
    <row r="34" spans="2:11" ht="32.25" customHeight="1" x14ac:dyDescent="0.25">
      <c r="B34" s="485" t="s">
        <v>67</v>
      </c>
      <c r="C34" s="486" t="s">
        <v>68</v>
      </c>
      <c r="D34" s="498">
        <v>16406.02</v>
      </c>
      <c r="E34" s="498">
        <v>9859.7999999999993</v>
      </c>
      <c r="F34" s="498">
        <v>18592.900000000001</v>
      </c>
      <c r="G34" s="499">
        <v>7927.82</v>
      </c>
      <c r="H34" s="103"/>
      <c r="I34" s="103"/>
      <c r="J34" s="103"/>
      <c r="K34" s="103"/>
    </row>
    <row r="35" spans="2:11" ht="32.25" customHeight="1" x14ac:dyDescent="0.25">
      <c r="B35" s="149" t="s">
        <v>69</v>
      </c>
      <c r="C35" s="150" t="s">
        <v>68</v>
      </c>
      <c r="D35" s="152">
        <f t="shared" ref="D35:G35" si="9">D19*D32/1000</f>
        <v>0</v>
      </c>
      <c r="E35" s="152">
        <f t="shared" ref="E35" si="10">E19*E32/1000</f>
        <v>0</v>
      </c>
      <c r="F35" s="152">
        <f t="shared" si="9"/>
        <v>2713.6038337921291</v>
      </c>
      <c r="G35" s="153">
        <f t="shared" si="9"/>
        <v>444.24527018413158</v>
      </c>
      <c r="H35" s="103"/>
      <c r="I35" s="103"/>
      <c r="J35" s="103"/>
      <c r="K35" s="103"/>
    </row>
    <row r="36" spans="2:11" ht="32.25" customHeight="1" x14ac:dyDescent="0.25">
      <c r="B36" s="149" t="s">
        <v>277</v>
      </c>
      <c r="C36" s="150" t="s">
        <v>68</v>
      </c>
      <c r="D36" s="152">
        <f t="shared" ref="D36:G36" si="11">D20*D32/1000</f>
        <v>16406.02</v>
      </c>
      <c r="E36" s="152">
        <f t="shared" ref="E36" si="12">E20*E32/1000</f>
        <v>9859.7999999999975</v>
      </c>
      <c r="F36" s="152">
        <f t="shared" si="11"/>
        <v>21306.503833792129</v>
      </c>
      <c r="G36" s="153">
        <f t="shared" si="11"/>
        <v>8372.0652701841318</v>
      </c>
      <c r="H36" s="103"/>
      <c r="I36" s="103"/>
      <c r="J36" s="103"/>
      <c r="K36" s="103"/>
    </row>
    <row r="37" spans="2:11" ht="21.75" customHeight="1" x14ac:dyDescent="0.25">
      <c r="B37" s="94" t="s">
        <v>44</v>
      </c>
      <c r="C37" s="94"/>
      <c r="D37" s="94"/>
      <c r="E37" s="94"/>
      <c r="F37" s="94"/>
      <c r="G37" s="94"/>
      <c r="H37" s="103"/>
      <c r="I37" s="103"/>
      <c r="J37" s="103"/>
      <c r="K37" s="103"/>
    </row>
    <row r="38" spans="2:11" ht="21.75" customHeight="1" x14ac:dyDescent="0.25">
      <c r="B38" s="154" t="s">
        <v>278</v>
      </c>
      <c r="C38" s="155" t="s">
        <v>64</v>
      </c>
      <c r="D38" s="47">
        <v>23979</v>
      </c>
      <c r="E38" s="47">
        <v>60218</v>
      </c>
      <c r="F38" s="47">
        <v>77650</v>
      </c>
      <c r="G38" s="45">
        <v>19463.166666666668</v>
      </c>
      <c r="H38" s="103"/>
      <c r="I38" s="103"/>
      <c r="J38" s="103"/>
      <c r="K38" s="103"/>
    </row>
    <row r="39" spans="2:11" ht="21.75" customHeight="1" x14ac:dyDescent="0.25">
      <c r="B39" s="154" t="s">
        <v>279</v>
      </c>
      <c r="C39" s="155" t="s">
        <v>64</v>
      </c>
      <c r="D39" s="47">
        <f>prilagoditve!I11</f>
        <v>10815.000000000002</v>
      </c>
      <c r="E39" s="47">
        <f>prilagoditve!I12</f>
        <v>22220.799999999996</v>
      </c>
      <c r="F39" s="47">
        <f>prilagoditve!I13</f>
        <v>22341.000000000004</v>
      </c>
      <c r="G39" s="45">
        <f>prilagoditve!I14</f>
        <v>10242.399999999998</v>
      </c>
      <c r="H39" s="103"/>
      <c r="I39" s="103"/>
      <c r="J39" s="103"/>
      <c r="K39" s="103"/>
    </row>
    <row r="40" spans="2:11" ht="25.5" customHeight="1" x14ac:dyDescent="0.25">
      <c r="B40" s="154" t="s">
        <v>280</v>
      </c>
      <c r="C40" s="155" t="s">
        <v>64</v>
      </c>
      <c r="D40" s="47">
        <f t="shared" ref="D40:E40" si="13">D38+D39</f>
        <v>34794</v>
      </c>
      <c r="E40" s="47">
        <f t="shared" si="13"/>
        <v>82438.799999999988</v>
      </c>
      <c r="F40" s="47">
        <f t="shared" ref="F40:G40" si="14">F38+F39</f>
        <v>99991</v>
      </c>
      <c r="G40" s="45">
        <f t="shared" si="14"/>
        <v>29705.566666666666</v>
      </c>
      <c r="H40" s="103"/>
      <c r="I40" s="103"/>
      <c r="J40" s="103"/>
      <c r="K40" s="103"/>
    </row>
    <row r="41" spans="2:11" ht="25.5" customHeight="1" x14ac:dyDescent="0.25">
      <c r="B41" s="480" t="s">
        <v>281</v>
      </c>
      <c r="C41" s="155" t="s">
        <v>64</v>
      </c>
      <c r="D41" s="47">
        <v>16250</v>
      </c>
      <c r="E41" s="47">
        <v>33775</v>
      </c>
      <c r="F41" s="47">
        <v>35075</v>
      </c>
      <c r="G41" s="45">
        <v>14000</v>
      </c>
      <c r="H41" s="103"/>
      <c r="I41" s="103"/>
      <c r="J41" s="103"/>
      <c r="K41" s="103"/>
    </row>
    <row r="42" spans="2:11" ht="25.5" customHeight="1" x14ac:dyDescent="0.25">
      <c r="B42" s="480" t="s">
        <v>283</v>
      </c>
      <c r="C42" s="155" t="s">
        <v>64</v>
      </c>
      <c r="D42" s="47">
        <v>0</v>
      </c>
      <c r="E42" s="47">
        <v>0</v>
      </c>
      <c r="F42" s="47">
        <v>0</v>
      </c>
      <c r="G42" s="45">
        <v>0</v>
      </c>
      <c r="H42" s="103"/>
      <c r="I42" s="103"/>
      <c r="J42" s="103"/>
      <c r="K42" s="103"/>
    </row>
    <row r="43" spans="2:11" ht="25.5" customHeight="1" x14ac:dyDescent="0.25">
      <c r="B43" s="480" t="s">
        <v>282</v>
      </c>
      <c r="C43" s="155" t="s">
        <v>64</v>
      </c>
      <c r="D43" s="47">
        <v>18203.637500000001</v>
      </c>
      <c r="E43" s="47">
        <v>49896.36</v>
      </c>
      <c r="F43" s="47">
        <v>61571.62</v>
      </c>
      <c r="G43" s="45">
        <v>15184.766666666666</v>
      </c>
      <c r="H43" s="103"/>
      <c r="I43" s="103"/>
      <c r="J43" s="103"/>
      <c r="K43" s="103"/>
    </row>
    <row r="44" spans="2:11" ht="25.5" customHeight="1" x14ac:dyDescent="0.25">
      <c r="B44" s="154" t="s">
        <v>293</v>
      </c>
      <c r="C44" s="155" t="s">
        <v>66</v>
      </c>
      <c r="D44" s="156">
        <f>D45/D38*1000</f>
        <v>167</v>
      </c>
      <c r="E44" s="156">
        <f t="shared" ref="E44" si="15">E45/E38*1000</f>
        <v>167</v>
      </c>
      <c r="F44" s="156">
        <f t="shared" ref="F44:G44" si="16">F45/F38*1000</f>
        <v>167</v>
      </c>
      <c r="G44" s="151">
        <f t="shared" si="16"/>
        <v>167</v>
      </c>
      <c r="H44" s="103"/>
      <c r="I44" s="103"/>
      <c r="J44" s="103"/>
      <c r="K44" s="103"/>
    </row>
    <row r="45" spans="2:11" ht="25.5" customHeight="1" x14ac:dyDescent="0.25">
      <c r="B45" s="154" t="s">
        <v>67</v>
      </c>
      <c r="C45" s="155" t="s">
        <v>68</v>
      </c>
      <c r="D45" s="157">
        <v>4004.4930000000004</v>
      </c>
      <c r="E45" s="157">
        <v>10056.406000000001</v>
      </c>
      <c r="F45" s="157">
        <v>12967.550000000001</v>
      </c>
      <c r="G45" s="153">
        <v>3250.3488333333339</v>
      </c>
      <c r="H45" s="103"/>
      <c r="I45" s="103"/>
      <c r="J45" s="103"/>
      <c r="K45" s="103"/>
    </row>
    <row r="46" spans="2:11" ht="25.5" customHeight="1" x14ac:dyDescent="0.25">
      <c r="B46" s="154" t="s">
        <v>69</v>
      </c>
      <c r="C46" s="155" t="s">
        <v>68</v>
      </c>
      <c r="D46" s="157">
        <f t="shared" ref="D46:G46" si="17">D39*D44/1000</f>
        <v>1806.1050000000002</v>
      </c>
      <c r="E46" s="157">
        <f t="shared" ref="E46" si="18">E39*E44/1000</f>
        <v>3710.873599999999</v>
      </c>
      <c r="F46" s="157">
        <f t="shared" si="17"/>
        <v>3730.9470000000006</v>
      </c>
      <c r="G46" s="153">
        <f t="shared" si="17"/>
        <v>1710.4807999999996</v>
      </c>
      <c r="H46" s="103"/>
      <c r="I46" s="103"/>
      <c r="J46" s="103"/>
      <c r="K46" s="103"/>
    </row>
    <row r="47" spans="2:11" ht="25.5" customHeight="1" x14ac:dyDescent="0.25">
      <c r="B47" s="154" t="s">
        <v>70</v>
      </c>
      <c r="C47" s="155" t="s">
        <v>68</v>
      </c>
      <c r="D47" s="157">
        <f t="shared" ref="D47:G47" si="19">D40*D44/1000</f>
        <v>5810.598</v>
      </c>
      <c r="E47" s="157">
        <f t="shared" ref="E47" si="20">E40*E44/1000</f>
        <v>13767.279599999998</v>
      </c>
      <c r="F47" s="157">
        <f t="shared" si="19"/>
        <v>16698.496999999999</v>
      </c>
      <c r="G47" s="153">
        <f t="shared" si="19"/>
        <v>4960.8296333333328</v>
      </c>
      <c r="H47" s="103"/>
      <c r="I47" s="103"/>
      <c r="J47" s="103"/>
      <c r="K47" s="103"/>
    </row>
    <row r="48" spans="2:11" ht="25.5" customHeight="1" x14ac:dyDescent="0.25">
      <c r="B48" s="95" t="s">
        <v>71</v>
      </c>
      <c r="C48" s="95"/>
      <c r="D48" s="95"/>
      <c r="E48" s="95"/>
      <c r="F48" s="95"/>
      <c r="G48" s="95"/>
      <c r="H48" s="103"/>
      <c r="I48" s="103"/>
      <c r="J48" s="103"/>
    </row>
    <row r="49" spans="2:10" ht="25.5" x14ac:dyDescent="0.25">
      <c r="B49" s="158" t="s">
        <v>72</v>
      </c>
      <c r="C49" s="159" t="s">
        <v>68</v>
      </c>
      <c r="D49" s="160">
        <v>5726</v>
      </c>
      <c r="E49" s="160">
        <v>3783</v>
      </c>
      <c r="F49" s="160">
        <v>6291</v>
      </c>
      <c r="G49" s="160">
        <v>3291</v>
      </c>
      <c r="H49" s="103"/>
      <c r="I49" s="103"/>
      <c r="J49" s="103"/>
    </row>
    <row r="50" spans="2:10" ht="15" customHeight="1" x14ac:dyDescent="0.25">
      <c r="B50" s="96" t="s">
        <v>73</v>
      </c>
      <c r="C50" s="96"/>
      <c r="D50" s="96"/>
      <c r="E50" s="96"/>
      <c r="F50" s="96"/>
      <c r="G50" s="96"/>
      <c r="H50" s="103"/>
      <c r="I50" s="103"/>
      <c r="J50" s="103"/>
    </row>
    <row r="51" spans="2:10" ht="25.5" customHeight="1" x14ac:dyDescent="0.25">
      <c r="B51" s="162" t="s">
        <v>74</v>
      </c>
      <c r="C51" s="163" t="s">
        <v>68</v>
      </c>
      <c r="D51" s="164">
        <f t="shared" ref="D51:E51" si="21">D34+D45+D49</f>
        <v>26136.512999999999</v>
      </c>
      <c r="E51" s="164">
        <f t="shared" si="21"/>
        <v>23699.205999999998</v>
      </c>
      <c r="F51" s="164">
        <f t="shared" ref="F51:G51" si="22">F34+F45+F49</f>
        <v>37851.450000000004</v>
      </c>
      <c r="G51" s="161">
        <f t="shared" si="22"/>
        <v>14469.168833333333</v>
      </c>
      <c r="H51" s="103"/>
      <c r="I51" s="103"/>
      <c r="J51" s="103"/>
    </row>
    <row r="52" spans="2:10" ht="25.5" customHeight="1" x14ac:dyDescent="0.25">
      <c r="B52" s="162" t="s">
        <v>284</v>
      </c>
      <c r="C52" s="163" t="s">
        <v>68</v>
      </c>
      <c r="D52" s="164">
        <f t="shared" ref="D52:E52" si="23">D36+D47+D49</f>
        <v>27942.618000000002</v>
      </c>
      <c r="E52" s="164">
        <f t="shared" si="23"/>
        <v>27410.079599999997</v>
      </c>
      <c r="F52" s="164">
        <f t="shared" ref="F52:G52" si="24">F36+F47+F49</f>
        <v>44296.000833792132</v>
      </c>
      <c r="G52" s="161">
        <f t="shared" si="24"/>
        <v>16623.894903517466</v>
      </c>
      <c r="H52" s="103"/>
      <c r="I52" s="103"/>
      <c r="J52" s="103"/>
    </row>
    <row r="53" spans="2:10" ht="15" customHeight="1" x14ac:dyDescent="0.25">
      <c r="H53" s="103"/>
      <c r="I53" s="103"/>
      <c r="J53" s="103"/>
    </row>
    <row r="54" spans="2:10" ht="15" customHeight="1" x14ac:dyDescent="0.25">
      <c r="H54" s="103"/>
      <c r="I54" s="103"/>
      <c r="J54" s="103"/>
    </row>
    <row r="55" spans="2:10" ht="15" customHeight="1" x14ac:dyDescent="0.25">
      <c r="H55" s="103"/>
      <c r="I55" s="103"/>
      <c r="J55" s="103"/>
    </row>
    <row r="56" spans="2:10" ht="15" customHeight="1" x14ac:dyDescent="0.25">
      <c r="H56" s="103"/>
      <c r="I56" s="103"/>
      <c r="J56" s="103"/>
    </row>
    <row r="57" spans="2:10" ht="15" customHeight="1" x14ac:dyDescent="0.25">
      <c r="H57" s="103"/>
      <c r="I57" s="103"/>
      <c r="J57" s="103"/>
    </row>
    <row r="58" spans="2:10" ht="15" customHeight="1" x14ac:dyDescent="0.25">
      <c r="H58" s="103"/>
      <c r="I58" s="103"/>
      <c r="J58" s="103"/>
    </row>
    <row r="59" spans="2:10" ht="15" customHeight="1" x14ac:dyDescent="0.25">
      <c r="H59" s="103"/>
      <c r="I59" s="103"/>
      <c r="J59" s="103"/>
    </row>
    <row r="60" spans="2:10" ht="15" customHeight="1" x14ac:dyDescent="0.25">
      <c r="H60" s="103"/>
      <c r="I60" s="103"/>
      <c r="J60" s="103"/>
    </row>
    <row r="61" spans="2:10" ht="15" customHeight="1" x14ac:dyDescent="0.25">
      <c r="H61" s="103"/>
      <c r="I61" s="103"/>
      <c r="J61" s="103"/>
    </row>
    <row r="62" spans="2:10" ht="15" customHeight="1" x14ac:dyDescent="0.25">
      <c r="H62" s="103"/>
      <c r="I62" s="103"/>
      <c r="J62" s="103"/>
    </row>
  </sheetData>
  <phoneticPr fontId="19" type="noConversion"/>
  <pageMargins left="0.70866141732283472" right="0.70866141732283472" top="0.74803149606299213" bottom="0.74803149606299213" header="0.31496062992125984" footer="0.31496062992125984"/>
  <pageSetup paperSize="9" scale="34" orientation="landscape" r:id="rId1"/>
  <headerFooter>
    <oddHeader>&amp;LProgram izvajanja koncesije "Celovita energetska prenova 7 objektov UKC LJ"&amp;R&amp;A</oddHeader>
    <oddFooter>&amp;RStran &amp;P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A608B-0624-4111-86F8-336E51792D24}">
  <dimension ref="B2:K14"/>
  <sheetViews>
    <sheetView zoomScale="115" zoomScaleNormal="115" workbookViewId="0">
      <selection activeCell="K7" sqref="K7"/>
    </sheetView>
  </sheetViews>
  <sheetFormatPr defaultRowHeight="15" x14ac:dyDescent="0.25"/>
  <cols>
    <col min="1" max="1" width="9.140625" style="1352"/>
    <col min="2" max="2" width="28.85546875" style="1352" customWidth="1"/>
    <col min="3" max="10" width="13.5703125" style="1352" customWidth="1"/>
    <col min="11" max="11" width="17.28515625" style="1352" customWidth="1"/>
    <col min="12" max="16384" width="9.140625" style="1352"/>
  </cols>
  <sheetData>
    <row r="2" spans="2:11" ht="15.75" thickBot="1" x14ac:dyDescent="0.3">
      <c r="B2" s="1371" t="s">
        <v>583</v>
      </c>
    </row>
    <row r="3" spans="2:11" ht="45.75" thickBot="1" x14ac:dyDescent="0.3">
      <c r="C3" s="1384" t="s">
        <v>582</v>
      </c>
      <c r="D3" s="1383" t="s">
        <v>581</v>
      </c>
      <c r="E3" s="1385" t="s">
        <v>580</v>
      </c>
      <c r="F3" s="1384" t="s">
        <v>579</v>
      </c>
      <c r="G3" s="1383" t="s">
        <v>571</v>
      </c>
      <c r="H3" s="1382" t="s">
        <v>578</v>
      </c>
      <c r="I3" s="1381" t="s">
        <v>577</v>
      </c>
      <c r="J3" s="1381" t="s">
        <v>585</v>
      </c>
      <c r="K3" s="1381" t="s">
        <v>584</v>
      </c>
    </row>
    <row r="4" spans="2:11" x14ac:dyDescent="0.25">
      <c r="B4" s="1352" t="s">
        <v>439</v>
      </c>
      <c r="C4" s="1380">
        <v>18.459890025796799</v>
      </c>
      <c r="D4" s="1363">
        <v>1677</v>
      </c>
      <c r="E4" s="1379">
        <v>30957.23557326123</v>
      </c>
      <c r="F4" s="1378">
        <v>18.459890025796799</v>
      </c>
      <c r="G4" s="1360">
        <v>3000</v>
      </c>
      <c r="H4" s="1377">
        <v>55379.670077390394</v>
      </c>
      <c r="I4" s="1377">
        <v>24422.434504129164</v>
      </c>
      <c r="J4" s="1386">
        <v>0.9</v>
      </c>
      <c r="K4" s="1377">
        <f>I4/0.9</f>
        <v>27136.038337921291</v>
      </c>
    </row>
    <row r="5" spans="2:11" ht="15.75" thickBot="1" x14ac:dyDescent="0.3">
      <c r="B5" s="1352" t="s">
        <v>568</v>
      </c>
      <c r="C5" s="1376">
        <v>3.0513120727258869</v>
      </c>
      <c r="D5" s="1375">
        <v>1863</v>
      </c>
      <c r="E5" s="1374">
        <v>5684.5943914883273</v>
      </c>
      <c r="F5" s="1373">
        <v>3.0513120727258869</v>
      </c>
      <c r="G5" s="1354">
        <v>3000</v>
      </c>
      <c r="H5" s="1372">
        <v>9153.9362181776614</v>
      </c>
      <c r="I5" s="1372">
        <v>3469.3418266893341</v>
      </c>
      <c r="J5" s="1387">
        <v>0.82</v>
      </c>
      <c r="K5" s="1372">
        <f>I5/0.82</f>
        <v>4230.9046666943104</v>
      </c>
    </row>
    <row r="9" spans="2:11" ht="15.75" thickBot="1" x14ac:dyDescent="0.3">
      <c r="B9" s="1371" t="s">
        <v>576</v>
      </c>
    </row>
    <row r="10" spans="2:11" ht="60.75" thickBot="1" x14ac:dyDescent="0.3">
      <c r="C10" s="1370" t="s">
        <v>575</v>
      </c>
      <c r="D10" s="1369" t="s">
        <v>574</v>
      </c>
      <c r="E10" s="1369" t="s">
        <v>573</v>
      </c>
      <c r="F10" s="1368" t="s">
        <v>572</v>
      </c>
      <c r="G10" s="1367" t="s">
        <v>571</v>
      </c>
      <c r="H10" s="1366" t="s">
        <v>570</v>
      </c>
      <c r="I10" s="1365" t="s">
        <v>569</v>
      </c>
    </row>
    <row r="11" spans="2:11" x14ac:dyDescent="0.25">
      <c r="B11" s="1352" t="s">
        <v>438</v>
      </c>
      <c r="C11" s="1361">
        <v>7</v>
      </c>
      <c r="D11" s="1363">
        <v>954.99999999999977</v>
      </c>
      <c r="E11" s="1362">
        <f>C11*D11</f>
        <v>6684.9999999999982</v>
      </c>
      <c r="F11" s="1361">
        <v>7</v>
      </c>
      <c r="G11" s="1360">
        <v>2500</v>
      </c>
      <c r="H11" s="1364">
        <f>F11*G11</f>
        <v>17500</v>
      </c>
      <c r="I11" s="1358">
        <f>H11-E11</f>
        <v>10815.000000000002</v>
      </c>
    </row>
    <row r="12" spans="2:11" x14ac:dyDescent="0.25">
      <c r="B12" s="1352" t="s">
        <v>441</v>
      </c>
      <c r="C12" s="1361">
        <v>12.8</v>
      </c>
      <c r="D12" s="1363">
        <v>764.00000000000023</v>
      </c>
      <c r="E12" s="1362">
        <f>C12*D12</f>
        <v>9779.2000000000025</v>
      </c>
      <c r="F12" s="1361">
        <v>12.8</v>
      </c>
      <c r="G12" s="1360">
        <v>2500</v>
      </c>
      <c r="H12" s="1359">
        <f>F12*G12</f>
        <v>32000</v>
      </c>
      <c r="I12" s="1358">
        <f>H12-E12</f>
        <v>22220.799999999996</v>
      </c>
    </row>
    <row r="13" spans="2:11" x14ac:dyDescent="0.25">
      <c r="B13" s="1352" t="s">
        <v>439</v>
      </c>
      <c r="C13" s="1361">
        <v>16.5</v>
      </c>
      <c r="D13" s="1363">
        <v>1145.9999999999998</v>
      </c>
      <c r="E13" s="1362">
        <f>C13*D13</f>
        <v>18908.999999999996</v>
      </c>
      <c r="F13" s="1361">
        <v>16.5</v>
      </c>
      <c r="G13" s="1360">
        <v>2500</v>
      </c>
      <c r="H13" s="1359">
        <f>F13*G13</f>
        <v>41250</v>
      </c>
      <c r="I13" s="1358">
        <f>H13-E13</f>
        <v>22341.000000000004</v>
      </c>
    </row>
    <row r="14" spans="2:11" ht="15.75" thickBot="1" x14ac:dyDescent="0.3">
      <c r="B14" s="1352" t="s">
        <v>568</v>
      </c>
      <c r="C14" s="1355">
        <v>5.9</v>
      </c>
      <c r="D14" s="1357">
        <v>764.00000000000011</v>
      </c>
      <c r="E14" s="1356">
        <f>C14*D14</f>
        <v>4507.6000000000013</v>
      </c>
      <c r="F14" s="1355">
        <v>5.9</v>
      </c>
      <c r="G14" s="1354">
        <v>2500</v>
      </c>
      <c r="H14" s="1353">
        <f>F14*G14</f>
        <v>14750</v>
      </c>
      <c r="I14" s="1353">
        <f>H14-E14</f>
        <v>10242.399999999998</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08A7B-CD80-4C07-8AB9-A73A68A3432B}">
  <dimension ref="A1:I64"/>
  <sheetViews>
    <sheetView view="pageLayout" zoomScaleNormal="100" workbookViewId="0">
      <selection activeCell="I26" sqref="I26"/>
    </sheetView>
  </sheetViews>
  <sheetFormatPr defaultColWidth="9.140625" defaultRowHeight="15" x14ac:dyDescent="0.25"/>
  <cols>
    <col min="1" max="1" width="53.42578125" style="1100" customWidth="1"/>
    <col min="2" max="2" width="19.140625" style="1099" customWidth="1"/>
    <col min="3" max="8" width="17.140625" style="1099" customWidth="1"/>
    <col min="9" max="9" width="38.5703125" style="1100" customWidth="1"/>
    <col min="10" max="16384" width="9.140625" style="1100"/>
  </cols>
  <sheetData>
    <row r="1" spans="1:9" ht="22.5" x14ac:dyDescent="0.25">
      <c r="A1" s="1098" t="s">
        <v>468</v>
      </c>
    </row>
    <row r="3" spans="1:9" x14ac:dyDescent="0.25">
      <c r="A3" s="1100" t="s">
        <v>469</v>
      </c>
    </row>
    <row r="5" spans="1:9" ht="73.5" x14ac:dyDescent="0.25">
      <c r="A5" s="1101" t="s">
        <v>470</v>
      </c>
      <c r="B5" s="1102" t="s">
        <v>471</v>
      </c>
      <c r="C5" s="1102" t="s">
        <v>472</v>
      </c>
      <c r="D5" s="1102" t="s">
        <v>473</v>
      </c>
      <c r="E5" s="1102" t="s">
        <v>474</v>
      </c>
      <c r="F5" s="1102" t="s">
        <v>475</v>
      </c>
      <c r="G5" s="1102" t="s">
        <v>476</v>
      </c>
      <c r="H5" s="1102" t="s">
        <v>477</v>
      </c>
      <c r="I5" s="1103" t="s">
        <v>478</v>
      </c>
    </row>
    <row r="6" spans="1:9" x14ac:dyDescent="0.25">
      <c r="A6" s="1104" t="s">
        <v>479</v>
      </c>
      <c r="B6" s="1105">
        <v>0.5</v>
      </c>
      <c r="C6" s="1105">
        <v>21</v>
      </c>
      <c r="D6" s="1105" t="s">
        <v>480</v>
      </c>
      <c r="E6" s="1105" t="s">
        <v>481</v>
      </c>
      <c r="F6" s="1105">
        <v>1667</v>
      </c>
      <c r="G6" s="1105">
        <v>10.1</v>
      </c>
      <c r="H6" s="1105">
        <v>300</v>
      </c>
      <c r="I6" s="1106"/>
    </row>
    <row r="7" spans="1:9" x14ac:dyDescent="0.25">
      <c r="A7" s="1107" t="s">
        <v>482</v>
      </c>
      <c r="B7" s="1108">
        <v>0.5</v>
      </c>
      <c r="C7" s="1108">
        <v>23</v>
      </c>
      <c r="D7" s="1108" t="str">
        <f>D6</f>
        <v>± 2</v>
      </c>
      <c r="E7" s="1108" t="s">
        <v>481</v>
      </c>
      <c r="F7" s="1108">
        <v>1667</v>
      </c>
      <c r="G7" s="1108">
        <v>10.1</v>
      </c>
      <c r="H7" s="1108">
        <v>300</v>
      </c>
      <c r="I7" s="1109" t="s">
        <v>483</v>
      </c>
    </row>
    <row r="8" spans="1:9" x14ac:dyDescent="0.25">
      <c r="A8" s="1104" t="s">
        <v>484</v>
      </c>
      <c r="B8" s="1105">
        <v>0.5</v>
      </c>
      <c r="C8" s="1105">
        <v>20</v>
      </c>
      <c r="D8" s="1105" t="str">
        <f t="shared" ref="D8:D19" si="0">D7</f>
        <v>± 2</v>
      </c>
      <c r="E8" s="1105" t="s">
        <v>481</v>
      </c>
      <c r="F8" s="1105">
        <v>1667</v>
      </c>
      <c r="G8" s="1105"/>
      <c r="H8" s="1105">
        <v>300</v>
      </c>
      <c r="I8" s="1106"/>
    </row>
    <row r="9" spans="1:9" x14ac:dyDescent="0.25">
      <c r="A9" s="1107" t="s">
        <v>485</v>
      </c>
      <c r="B9" s="1108"/>
      <c r="C9" s="1108">
        <v>21</v>
      </c>
      <c r="D9" s="1108" t="str">
        <f t="shared" si="0"/>
        <v>± 2</v>
      </c>
      <c r="E9" s="1108" t="s">
        <v>481</v>
      </c>
      <c r="F9" s="1108">
        <v>1667</v>
      </c>
      <c r="G9" s="1108"/>
      <c r="H9" s="1108">
        <v>300</v>
      </c>
      <c r="I9" s="1109"/>
    </row>
    <row r="10" spans="1:9" x14ac:dyDescent="0.25">
      <c r="A10" s="1104" t="s">
        <v>486</v>
      </c>
      <c r="B10" s="1105">
        <v>0.5</v>
      </c>
      <c r="C10" s="1105">
        <v>21</v>
      </c>
      <c r="D10" s="1105" t="str">
        <f t="shared" si="0"/>
        <v>± 2</v>
      </c>
      <c r="E10" s="1105" t="s">
        <v>481</v>
      </c>
      <c r="F10" s="1105">
        <v>1667</v>
      </c>
      <c r="G10" s="1105">
        <v>8.6</v>
      </c>
      <c r="H10" s="1105">
        <v>300</v>
      </c>
      <c r="I10" s="1106" t="s">
        <v>487</v>
      </c>
    </row>
    <row r="11" spans="1:9" x14ac:dyDescent="0.25">
      <c r="A11" s="1107" t="s">
        <v>488</v>
      </c>
      <c r="B11" s="1108">
        <v>0.5</v>
      </c>
      <c r="C11" s="1108">
        <v>19</v>
      </c>
      <c r="D11" s="1108" t="str">
        <f>D10</f>
        <v>± 2</v>
      </c>
      <c r="E11" s="1108" t="s">
        <v>481</v>
      </c>
      <c r="F11" s="1108">
        <v>1667</v>
      </c>
      <c r="G11" s="1108"/>
      <c r="H11" s="1108">
        <v>300</v>
      </c>
      <c r="I11" s="1109"/>
    </row>
    <row r="12" spans="1:9" x14ac:dyDescent="0.25">
      <c r="A12" s="1104" t="s">
        <v>489</v>
      </c>
      <c r="B12" s="1105">
        <v>1</v>
      </c>
      <c r="C12" s="1105">
        <v>21</v>
      </c>
      <c r="D12" s="1105" t="str">
        <f t="shared" si="0"/>
        <v>± 2</v>
      </c>
      <c r="E12" s="1105" t="s">
        <v>481</v>
      </c>
      <c r="F12" s="1105">
        <v>1667</v>
      </c>
      <c r="G12" s="1105"/>
      <c r="H12" s="1105">
        <v>300</v>
      </c>
      <c r="I12" s="1106"/>
    </row>
    <row r="13" spans="1:9" x14ac:dyDescent="0.25">
      <c r="A13" s="1107" t="s">
        <v>490</v>
      </c>
      <c r="B13" s="1108">
        <v>0.5</v>
      </c>
      <c r="C13" s="1108">
        <v>24</v>
      </c>
      <c r="D13" s="1108" t="str">
        <f t="shared" si="0"/>
        <v>± 2</v>
      </c>
      <c r="E13" s="1108" t="s">
        <v>481</v>
      </c>
      <c r="F13" s="1108">
        <v>1667</v>
      </c>
      <c r="G13" s="1108"/>
      <c r="H13" s="1108">
        <v>200</v>
      </c>
      <c r="I13" s="1109"/>
    </row>
    <row r="14" spans="1:9" x14ac:dyDescent="0.25">
      <c r="A14" s="1104" t="s">
        <v>491</v>
      </c>
      <c r="B14" s="1105"/>
      <c r="C14" s="1105">
        <v>18</v>
      </c>
      <c r="D14" s="1105" t="str">
        <f t="shared" si="0"/>
        <v>± 2</v>
      </c>
      <c r="E14" s="1105" t="s">
        <v>481</v>
      </c>
      <c r="F14" s="1105">
        <v>1667</v>
      </c>
      <c r="G14" s="1105"/>
      <c r="H14" s="1105">
        <v>200</v>
      </c>
      <c r="I14" s="1106"/>
    </row>
    <row r="15" spans="1:9" x14ac:dyDescent="0.25">
      <c r="A15" s="1107" t="s">
        <v>492</v>
      </c>
      <c r="B15" s="1108">
        <v>0.1</v>
      </c>
      <c r="C15" s="1108">
        <v>21</v>
      </c>
      <c r="D15" s="1108" t="str">
        <f t="shared" si="0"/>
        <v>± 2</v>
      </c>
      <c r="E15" s="1108" t="s">
        <v>481</v>
      </c>
      <c r="F15" s="1108">
        <v>1667</v>
      </c>
      <c r="G15" s="1108">
        <v>2.5</v>
      </c>
      <c r="H15" s="1108">
        <v>500</v>
      </c>
      <c r="I15" s="1109"/>
    </row>
    <row r="16" spans="1:9" x14ac:dyDescent="0.25">
      <c r="A16" s="1104" t="s">
        <v>493</v>
      </c>
      <c r="B16" s="1105">
        <v>1</v>
      </c>
      <c r="C16" s="1105">
        <v>20</v>
      </c>
      <c r="D16" s="1105" t="str">
        <f t="shared" si="0"/>
        <v>± 2</v>
      </c>
      <c r="E16" s="1105" t="s">
        <v>481</v>
      </c>
      <c r="F16" s="1105">
        <v>1667</v>
      </c>
      <c r="G16" s="1105" t="s">
        <v>494</v>
      </c>
      <c r="H16" s="1105">
        <v>200</v>
      </c>
      <c r="I16" s="1106"/>
    </row>
    <row r="17" spans="1:9" x14ac:dyDescent="0.25">
      <c r="A17" s="1104" t="s">
        <v>541</v>
      </c>
      <c r="B17" s="1105"/>
      <c r="C17" s="1105">
        <v>22</v>
      </c>
      <c r="D17" s="1105" t="str">
        <f t="shared" si="0"/>
        <v>± 2</v>
      </c>
      <c r="E17" s="1105" t="s">
        <v>481</v>
      </c>
      <c r="F17" s="1105">
        <v>1667</v>
      </c>
      <c r="G17" s="1105"/>
      <c r="H17" s="1105"/>
      <c r="I17" s="1106"/>
    </row>
    <row r="18" spans="1:9" x14ac:dyDescent="0.25">
      <c r="A18" s="1107" t="s">
        <v>542</v>
      </c>
      <c r="B18" s="1108"/>
      <c r="C18" s="1108">
        <v>20</v>
      </c>
      <c r="D18" s="1108" t="str">
        <f t="shared" si="0"/>
        <v>± 2</v>
      </c>
      <c r="E18" s="1108" t="s">
        <v>481</v>
      </c>
      <c r="F18" s="1108">
        <v>1667</v>
      </c>
      <c r="G18" s="1108"/>
      <c r="H18" s="1108"/>
      <c r="I18" s="1109"/>
    </row>
    <row r="19" spans="1:9" x14ac:dyDescent="0.25">
      <c r="A19" s="1104" t="s">
        <v>495</v>
      </c>
      <c r="B19" s="1105">
        <v>0.1</v>
      </c>
      <c r="C19" s="1105">
        <v>18</v>
      </c>
      <c r="D19" s="1105" t="str">
        <f t="shared" si="0"/>
        <v>± 2</v>
      </c>
      <c r="E19" s="1105" t="s">
        <v>481</v>
      </c>
      <c r="F19" s="1105">
        <v>1667</v>
      </c>
      <c r="G19" s="1105"/>
      <c r="H19" s="1105">
        <v>150</v>
      </c>
      <c r="I19" s="1106"/>
    </row>
    <row r="20" spans="1:9" x14ac:dyDescent="0.25">
      <c r="A20" s="1129"/>
      <c r="B20" s="1130"/>
      <c r="C20" s="1130"/>
      <c r="D20" s="1130"/>
      <c r="E20" s="1130"/>
      <c r="F20" s="1130"/>
      <c r="G20" s="1130"/>
      <c r="H20" s="1130"/>
      <c r="I20" s="1131"/>
    </row>
    <row r="21" spans="1:9" x14ac:dyDescent="0.25">
      <c r="A21" s="1100" t="s">
        <v>496</v>
      </c>
    </row>
    <row r="22" spans="1:9" ht="28.5" x14ac:dyDescent="0.25">
      <c r="A22" s="1101" t="s">
        <v>497</v>
      </c>
      <c r="B22" s="1103" t="s">
        <v>498</v>
      </c>
    </row>
    <row r="23" spans="1:9" ht="38.25" customHeight="1" x14ac:dyDescent="0.25">
      <c r="A23" s="1113" t="s">
        <v>499</v>
      </c>
      <c r="B23" s="1114">
        <v>50</v>
      </c>
      <c r="D23" s="1099" t="s">
        <v>500</v>
      </c>
    </row>
    <row r="25" spans="1:9" x14ac:dyDescent="0.25">
      <c r="A25" s="1100" t="s">
        <v>501</v>
      </c>
    </row>
    <row r="26" spans="1:9" x14ac:dyDescent="0.25">
      <c r="A26" s="1100" t="s">
        <v>502</v>
      </c>
    </row>
    <row r="27" spans="1:9" x14ac:dyDescent="0.25">
      <c r="A27" s="1100" t="s">
        <v>503</v>
      </c>
    </row>
    <row r="28" spans="1:9" x14ac:dyDescent="0.25">
      <c r="A28" s="1100" t="s">
        <v>504</v>
      </c>
    </row>
    <row r="29" spans="1:9" x14ac:dyDescent="0.25">
      <c r="A29" s="1115" t="s">
        <v>505</v>
      </c>
    </row>
    <row r="31" spans="1:9" x14ac:dyDescent="0.25">
      <c r="A31" s="1115" t="s">
        <v>506</v>
      </c>
    </row>
    <row r="32" spans="1:9" x14ac:dyDescent="0.25">
      <c r="A32" s="1116" t="s">
        <v>507</v>
      </c>
      <c r="B32" s="1117"/>
      <c r="C32" s="1117"/>
      <c r="D32" s="1117"/>
      <c r="E32" s="1117"/>
      <c r="F32" s="1117"/>
      <c r="G32" s="1117"/>
      <c r="H32" s="1117"/>
      <c r="I32" s="1116"/>
    </row>
    <row r="33" spans="1:9" x14ac:dyDescent="0.25">
      <c r="A33" s="1116" t="s">
        <v>508</v>
      </c>
      <c r="B33" s="1117"/>
      <c r="C33" s="1117"/>
      <c r="D33" s="1117"/>
      <c r="E33" s="1117"/>
      <c r="F33" s="1117"/>
      <c r="G33" s="1117"/>
      <c r="H33" s="1117"/>
      <c r="I33" s="1116"/>
    </row>
    <row r="34" spans="1:9" ht="39" customHeight="1" x14ac:dyDescent="0.25">
      <c r="A34" s="1154" t="s">
        <v>509</v>
      </c>
      <c r="B34" s="1154"/>
      <c r="C34" s="1154"/>
      <c r="D34" s="1154"/>
      <c r="E34" s="1154"/>
      <c r="F34" s="1154"/>
      <c r="G34" s="1154"/>
      <c r="H34" s="1154"/>
      <c r="I34" s="1154"/>
    </row>
    <row r="35" spans="1:9" x14ac:dyDescent="0.25">
      <c r="A35" s="1116" t="s">
        <v>510</v>
      </c>
      <c r="B35" s="1117"/>
      <c r="C35" s="1117"/>
      <c r="D35" s="1117"/>
      <c r="E35" s="1117"/>
      <c r="F35" s="1117"/>
      <c r="G35" s="1117"/>
      <c r="H35" s="1117"/>
      <c r="I35" s="1116"/>
    </row>
    <row r="36" spans="1:9" ht="39.75" customHeight="1" x14ac:dyDescent="0.25">
      <c r="A36" s="1154" t="s">
        <v>511</v>
      </c>
      <c r="B36" s="1154"/>
      <c r="C36" s="1154"/>
      <c r="D36" s="1154"/>
      <c r="E36" s="1154"/>
      <c r="F36" s="1154"/>
      <c r="G36" s="1154"/>
      <c r="H36" s="1154"/>
      <c r="I36" s="1154"/>
    </row>
    <row r="37" spans="1:9" ht="52.5" customHeight="1" x14ac:dyDescent="0.25">
      <c r="A37" s="1154" t="s">
        <v>512</v>
      </c>
      <c r="B37" s="1154"/>
      <c r="C37" s="1154"/>
      <c r="D37" s="1154"/>
      <c r="E37" s="1154"/>
      <c r="F37" s="1154"/>
      <c r="G37" s="1154"/>
      <c r="H37" s="1154"/>
      <c r="I37" s="1154"/>
    </row>
    <row r="38" spans="1:9" ht="39.75" customHeight="1" x14ac:dyDescent="0.25">
      <c r="A38" s="1154" t="s">
        <v>513</v>
      </c>
      <c r="B38" s="1154"/>
      <c r="C38" s="1154"/>
      <c r="D38" s="1154"/>
      <c r="E38" s="1154"/>
      <c r="F38" s="1154"/>
      <c r="G38" s="1154"/>
      <c r="H38" s="1154"/>
      <c r="I38" s="1154"/>
    </row>
    <row r="39" spans="1:9" x14ac:dyDescent="0.25">
      <c r="A39" s="1155" t="s">
        <v>514</v>
      </c>
      <c r="B39" s="1155"/>
      <c r="C39" s="1155"/>
      <c r="D39" s="1155"/>
      <c r="E39" s="1155"/>
      <c r="F39" s="1155"/>
      <c r="G39" s="1155"/>
      <c r="H39" s="1155"/>
      <c r="I39" s="1155"/>
    </row>
    <row r="41" spans="1:9" x14ac:dyDescent="0.25">
      <c r="A41" s="1115" t="s">
        <v>515</v>
      </c>
    </row>
    <row r="42" spans="1:9" x14ac:dyDescent="0.25">
      <c r="A42" s="1118" t="s">
        <v>516</v>
      </c>
    </row>
    <row r="44" spans="1:9" ht="30.75" x14ac:dyDescent="0.25">
      <c r="A44" s="1101" t="s">
        <v>517</v>
      </c>
      <c r="B44" s="1102" t="s">
        <v>518</v>
      </c>
      <c r="C44" s="1102" t="s">
        <v>519</v>
      </c>
      <c r="D44" s="1102" t="s">
        <v>520</v>
      </c>
      <c r="E44" s="1103" t="s">
        <v>521</v>
      </c>
    </row>
    <row r="45" spans="1:9" x14ac:dyDescent="0.25">
      <c r="A45" s="1104"/>
      <c r="B45" s="1119"/>
      <c r="C45" s="1119"/>
      <c r="D45" s="1119"/>
      <c r="E45" s="1110"/>
    </row>
    <row r="46" spans="1:9" x14ac:dyDescent="0.25">
      <c r="A46" s="1120" t="s">
        <v>522</v>
      </c>
      <c r="B46" s="1121"/>
      <c r="C46" s="1108"/>
      <c r="D46" s="1108"/>
      <c r="E46" s="1122"/>
    </row>
    <row r="47" spans="1:9" x14ac:dyDescent="0.25">
      <c r="A47" s="1104" t="s">
        <v>523</v>
      </c>
      <c r="B47" s="1105">
        <v>300</v>
      </c>
      <c r="C47" s="1105">
        <v>19</v>
      </c>
      <c r="D47" s="1123">
        <v>0.6</v>
      </c>
      <c r="E47" s="1124">
        <v>80</v>
      </c>
    </row>
    <row r="48" spans="1:9" x14ac:dyDescent="0.25">
      <c r="A48" s="1107" t="s">
        <v>524</v>
      </c>
      <c r="B48" s="1108">
        <v>500</v>
      </c>
      <c r="C48" s="1108">
        <v>19</v>
      </c>
      <c r="D48" s="1125">
        <v>0.6</v>
      </c>
      <c r="E48" s="1122">
        <v>80</v>
      </c>
    </row>
    <row r="49" spans="1:9" s="1099" customFormat="1" x14ac:dyDescent="0.25">
      <c r="A49" s="1104" t="s">
        <v>525</v>
      </c>
      <c r="B49" s="1105">
        <v>500</v>
      </c>
      <c r="C49" s="1105">
        <v>19</v>
      </c>
      <c r="D49" s="1123">
        <v>0.6</v>
      </c>
      <c r="E49" s="1124">
        <v>80</v>
      </c>
      <c r="I49" s="1100"/>
    </row>
    <row r="50" spans="1:9" s="1099" customFormat="1" x14ac:dyDescent="0.25">
      <c r="A50" s="1107" t="s">
        <v>526</v>
      </c>
      <c r="B50" s="1108">
        <v>500</v>
      </c>
      <c r="C50" s="1108">
        <v>19</v>
      </c>
      <c r="D50" s="1125">
        <v>0.7</v>
      </c>
      <c r="E50" s="1122">
        <v>80</v>
      </c>
      <c r="I50" s="1100"/>
    </row>
    <row r="51" spans="1:9" s="1099" customFormat="1" x14ac:dyDescent="0.25">
      <c r="A51" s="1104" t="s">
        <v>527</v>
      </c>
      <c r="B51" s="1105">
        <v>200</v>
      </c>
      <c r="C51" s="1105">
        <v>22</v>
      </c>
      <c r="D51" s="1123">
        <v>0.4</v>
      </c>
      <c r="E51" s="1124">
        <v>80</v>
      </c>
      <c r="I51" s="1100"/>
    </row>
    <row r="52" spans="1:9" s="1099" customFormat="1" x14ac:dyDescent="0.25">
      <c r="A52" s="1107" t="s">
        <v>528</v>
      </c>
      <c r="B52" s="1108">
        <v>100</v>
      </c>
      <c r="C52" s="1108">
        <v>25</v>
      </c>
      <c r="D52" s="1125">
        <v>0.4</v>
      </c>
      <c r="E52" s="1122">
        <v>80</v>
      </c>
      <c r="I52" s="1100"/>
    </row>
    <row r="53" spans="1:9" s="1099" customFormat="1" x14ac:dyDescent="0.25">
      <c r="A53" s="1104" t="s">
        <v>529</v>
      </c>
      <c r="B53" s="1105">
        <v>300</v>
      </c>
      <c r="C53" s="1105">
        <v>19</v>
      </c>
      <c r="D53" s="1123">
        <v>0.6</v>
      </c>
      <c r="E53" s="1124">
        <v>80</v>
      </c>
      <c r="I53" s="1100"/>
    </row>
    <row r="54" spans="1:9" s="1099" customFormat="1" x14ac:dyDescent="0.25">
      <c r="A54" s="1107" t="s">
        <v>530</v>
      </c>
      <c r="B54" s="1108">
        <v>200</v>
      </c>
      <c r="C54" s="1108">
        <v>19</v>
      </c>
      <c r="D54" s="1125">
        <v>0.6</v>
      </c>
      <c r="E54" s="1122">
        <v>80</v>
      </c>
      <c r="I54" s="1100"/>
    </row>
    <row r="55" spans="1:9" s="1099" customFormat="1" x14ac:dyDescent="0.25">
      <c r="A55" s="1104" t="s">
        <v>531</v>
      </c>
      <c r="B55" s="1105">
        <v>500</v>
      </c>
      <c r="C55" s="1105">
        <v>19</v>
      </c>
      <c r="D55" s="1123">
        <v>0.6</v>
      </c>
      <c r="E55" s="1124">
        <v>80</v>
      </c>
      <c r="I55" s="1100"/>
    </row>
    <row r="56" spans="1:9" s="1099" customFormat="1" x14ac:dyDescent="0.25">
      <c r="A56" s="1107" t="s">
        <v>532</v>
      </c>
      <c r="B56" s="1108">
        <v>100</v>
      </c>
      <c r="C56" s="1108">
        <v>25</v>
      </c>
      <c r="D56" s="1125">
        <v>0.4</v>
      </c>
      <c r="E56" s="1122">
        <v>80</v>
      </c>
      <c r="I56" s="1100"/>
    </row>
    <row r="57" spans="1:9" s="1099" customFormat="1" x14ac:dyDescent="0.25">
      <c r="A57" s="1104" t="s">
        <v>533</v>
      </c>
      <c r="B57" s="1105">
        <v>300</v>
      </c>
      <c r="C57" s="1105">
        <v>22</v>
      </c>
      <c r="D57" s="1123">
        <v>0.6</v>
      </c>
      <c r="E57" s="1124">
        <v>80</v>
      </c>
      <c r="I57" s="1100"/>
    </row>
    <row r="58" spans="1:9" s="1099" customFormat="1" x14ac:dyDescent="0.25">
      <c r="A58" s="1107" t="s">
        <v>534</v>
      </c>
      <c r="B58" s="1108">
        <v>200</v>
      </c>
      <c r="C58" s="1108">
        <v>22</v>
      </c>
      <c r="D58" s="1125">
        <v>0.4</v>
      </c>
      <c r="E58" s="1122">
        <v>80</v>
      </c>
      <c r="I58" s="1100"/>
    </row>
    <row r="59" spans="1:9" s="1099" customFormat="1" x14ac:dyDescent="0.25">
      <c r="A59" s="1104" t="s">
        <v>535</v>
      </c>
      <c r="B59" s="1105">
        <v>500</v>
      </c>
      <c r="C59" s="1105">
        <v>22</v>
      </c>
      <c r="D59" s="1123">
        <v>0.6</v>
      </c>
      <c r="E59" s="1124">
        <v>80</v>
      </c>
      <c r="I59" s="1100"/>
    </row>
    <row r="60" spans="1:9" s="1099" customFormat="1" x14ac:dyDescent="0.25">
      <c r="A60" s="1107"/>
      <c r="B60" s="1108"/>
      <c r="C60" s="1108"/>
      <c r="D60" s="1108"/>
      <c r="E60" s="1122"/>
      <c r="I60" s="1100"/>
    </row>
    <row r="61" spans="1:9" s="1099" customFormat="1" x14ac:dyDescent="0.25">
      <c r="A61" s="1126" t="s">
        <v>536</v>
      </c>
      <c r="B61" s="1105"/>
      <c r="C61" s="1105"/>
      <c r="D61" s="1105"/>
      <c r="E61" s="1124"/>
      <c r="I61" s="1100"/>
    </row>
    <row r="62" spans="1:9" s="1099" customFormat="1" x14ac:dyDescent="0.25">
      <c r="A62" s="1107" t="s">
        <v>537</v>
      </c>
      <c r="B62" s="1108">
        <v>300</v>
      </c>
      <c r="C62" s="1108">
        <v>22</v>
      </c>
      <c r="D62" s="1125">
        <v>0.4</v>
      </c>
      <c r="E62" s="1122">
        <v>80</v>
      </c>
      <c r="I62" s="1100"/>
    </row>
    <row r="63" spans="1:9" s="1099" customFormat="1" x14ac:dyDescent="0.25">
      <c r="A63" s="1104" t="s">
        <v>538</v>
      </c>
      <c r="B63" s="1105">
        <v>300</v>
      </c>
      <c r="C63" s="1105">
        <v>22</v>
      </c>
      <c r="D63" s="1123">
        <v>0.4</v>
      </c>
      <c r="E63" s="1124">
        <v>80</v>
      </c>
      <c r="I63" s="1100"/>
    </row>
    <row r="64" spans="1:9" s="1099" customFormat="1" x14ac:dyDescent="0.25">
      <c r="A64" s="1111" t="s">
        <v>539</v>
      </c>
      <c r="B64" s="1112">
        <v>300</v>
      </c>
      <c r="C64" s="1112">
        <v>22</v>
      </c>
      <c r="D64" s="1127">
        <v>0.6</v>
      </c>
      <c r="E64" s="1128">
        <v>80</v>
      </c>
      <c r="I64" s="1100"/>
    </row>
  </sheetData>
  <mergeCells count="5">
    <mergeCell ref="A34:I34"/>
    <mergeCell ref="A36:I36"/>
    <mergeCell ref="A37:I37"/>
    <mergeCell ref="A38:I38"/>
    <mergeCell ref="A39:I39"/>
  </mergeCells>
  <phoneticPr fontId="19" type="noConversion"/>
  <pageMargins left="0.23622047244094491" right="0.23622047244094491" top="0.74803149606299213" bottom="0.74803149606299213" header="0.31496062992125984" footer="0.31496062992125984"/>
  <pageSetup paperSize="8" scale="9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CCBB8-0E95-4B8F-A7C6-464FC5B7A76D}">
  <dimension ref="A1:B29"/>
  <sheetViews>
    <sheetView view="pageLayout" zoomScaleNormal="100" workbookViewId="0">
      <selection activeCell="I26" sqref="I26"/>
    </sheetView>
  </sheetViews>
  <sheetFormatPr defaultColWidth="9.140625" defaultRowHeight="15" x14ac:dyDescent="0.25"/>
  <cols>
    <col min="1" max="1" width="3.42578125" style="1134" customWidth="1"/>
    <col min="2" max="2" width="82.5703125" style="1134" customWidth="1"/>
    <col min="3" max="16384" width="9.140625" style="1134"/>
  </cols>
  <sheetData>
    <row r="1" spans="1:2" ht="37.5" x14ac:dyDescent="0.25">
      <c r="A1" s="1132" t="s">
        <v>543</v>
      </c>
      <c r="B1" s="1133" t="s">
        <v>544</v>
      </c>
    </row>
    <row r="2" spans="1:2" ht="27.75" customHeight="1" x14ac:dyDescent="0.25">
      <c r="B2" s="1135"/>
    </row>
    <row r="3" spans="1:2" x14ac:dyDescent="0.25">
      <c r="B3" s="1136" t="s">
        <v>545</v>
      </c>
    </row>
    <row r="4" spans="1:2" x14ac:dyDescent="0.25">
      <c r="B4" s="1135"/>
    </row>
    <row r="5" spans="1:2" x14ac:dyDescent="0.25">
      <c r="B5" s="1137" t="s">
        <v>546</v>
      </c>
    </row>
    <row r="6" spans="1:2" ht="7.5" customHeight="1" x14ac:dyDescent="0.25">
      <c r="B6" s="1137"/>
    </row>
    <row r="7" spans="1:2" ht="30" x14ac:dyDescent="0.25">
      <c r="B7" s="1137" t="s">
        <v>547</v>
      </c>
    </row>
    <row r="8" spans="1:2" ht="7.5" customHeight="1" x14ac:dyDescent="0.25">
      <c r="B8" s="1137"/>
    </row>
    <row r="9" spans="1:2" ht="45" x14ac:dyDescent="0.25">
      <c r="B9" s="1137" t="s">
        <v>548</v>
      </c>
    </row>
    <row r="10" spans="1:2" ht="7.5" customHeight="1" x14ac:dyDescent="0.25">
      <c r="B10" s="1137"/>
    </row>
    <row r="11" spans="1:2" ht="45" x14ac:dyDescent="0.25">
      <c r="B11" s="1137" t="s">
        <v>549</v>
      </c>
    </row>
    <row r="12" spans="1:2" ht="7.5" customHeight="1" x14ac:dyDescent="0.25">
      <c r="B12" s="1137"/>
    </row>
    <row r="13" spans="1:2" ht="30" x14ac:dyDescent="0.25">
      <c r="B13" s="1137" t="s">
        <v>550</v>
      </c>
    </row>
    <row r="14" spans="1:2" ht="7.5" customHeight="1" x14ac:dyDescent="0.25">
      <c r="B14" s="1137"/>
    </row>
    <row r="15" spans="1:2" ht="45" x14ac:dyDescent="0.25">
      <c r="B15" s="1137" t="s">
        <v>551</v>
      </c>
    </row>
    <row r="16" spans="1:2" ht="7.5" customHeight="1" x14ac:dyDescent="0.25">
      <c r="B16" s="1137"/>
    </row>
    <row r="17" spans="2:2" ht="45" x14ac:dyDescent="0.25">
      <c r="B17" s="1137" t="s">
        <v>552</v>
      </c>
    </row>
    <row r="18" spans="2:2" ht="7.5" customHeight="1" x14ac:dyDescent="0.25">
      <c r="B18" s="1137"/>
    </row>
    <row r="19" spans="2:2" ht="45" x14ac:dyDescent="0.25">
      <c r="B19" s="1137" t="s">
        <v>553</v>
      </c>
    </row>
    <row r="20" spans="2:2" ht="7.5" customHeight="1" x14ac:dyDescent="0.25">
      <c r="B20" s="1137"/>
    </row>
    <row r="21" spans="2:2" ht="30" x14ac:dyDescent="0.25">
      <c r="B21" s="1137" t="s">
        <v>554</v>
      </c>
    </row>
    <row r="22" spans="2:2" x14ac:dyDescent="0.25">
      <c r="B22" s="1138" t="s">
        <v>555</v>
      </c>
    </row>
    <row r="23" spans="2:2" x14ac:dyDescent="0.25">
      <c r="B23" s="1138" t="s">
        <v>556</v>
      </c>
    </row>
    <row r="24" spans="2:2" ht="7.5" customHeight="1" x14ac:dyDescent="0.25">
      <c r="B24" s="1137"/>
    </row>
    <row r="25" spans="2:2" x14ac:dyDescent="0.25">
      <c r="B25" s="1137" t="s">
        <v>557</v>
      </c>
    </row>
    <row r="26" spans="2:2" ht="7.5" customHeight="1" x14ac:dyDescent="0.25">
      <c r="B26" s="1137"/>
    </row>
    <row r="27" spans="2:2" ht="30" x14ac:dyDescent="0.25">
      <c r="B27" s="1137" t="s">
        <v>558</v>
      </c>
    </row>
    <row r="28" spans="2:2" ht="7.5" customHeight="1" x14ac:dyDescent="0.25">
      <c r="B28" s="1137"/>
    </row>
    <row r="29" spans="2:2" x14ac:dyDescent="0.25">
      <c r="B29" s="1137" t="s">
        <v>559</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B5611-A31C-43A6-9B53-775421817629}">
  <dimension ref="A2:A88"/>
  <sheetViews>
    <sheetView workbookViewId="0">
      <selection activeCell="J22" sqref="J22"/>
    </sheetView>
  </sheetViews>
  <sheetFormatPr defaultColWidth="9.140625" defaultRowHeight="15" x14ac:dyDescent="0.25"/>
  <cols>
    <col min="1" max="1" width="88.42578125" style="1140" customWidth="1"/>
    <col min="2" max="16384" width="9.140625" style="1140"/>
  </cols>
  <sheetData>
    <row r="2" spans="1:1" ht="18.75" x14ac:dyDescent="0.25">
      <c r="A2" s="1139" t="s">
        <v>560</v>
      </c>
    </row>
    <row r="3" spans="1:1" x14ac:dyDescent="0.25">
      <c r="A3" s="1141"/>
    </row>
    <row r="4" spans="1:1" x14ac:dyDescent="0.25">
      <c r="A4" s="1141"/>
    </row>
    <row r="5" spans="1:1" x14ac:dyDescent="0.25">
      <c r="A5" s="1142" t="s">
        <v>561</v>
      </c>
    </row>
    <row r="6" spans="1:1" x14ac:dyDescent="0.25">
      <c r="A6" s="1142"/>
    </row>
    <row r="7" spans="1:1" x14ac:dyDescent="0.25">
      <c r="A7" s="1143"/>
    </row>
    <row r="8" spans="1:1" x14ac:dyDescent="0.25">
      <c r="A8" s="1143"/>
    </row>
    <row r="9" spans="1:1" x14ac:dyDescent="0.25">
      <c r="A9" s="1143"/>
    </row>
    <row r="10" spans="1:1" x14ac:dyDescent="0.25">
      <c r="A10" s="1143"/>
    </row>
    <row r="11" spans="1:1" x14ac:dyDescent="0.25">
      <c r="A11" s="1143"/>
    </row>
    <row r="12" spans="1:1" x14ac:dyDescent="0.25">
      <c r="A12" s="1143"/>
    </row>
    <row r="13" spans="1:1" x14ac:dyDescent="0.25">
      <c r="A13" s="1143"/>
    </row>
    <row r="14" spans="1:1" x14ac:dyDescent="0.25">
      <c r="A14" s="1143"/>
    </row>
    <row r="15" spans="1:1" x14ac:dyDescent="0.25">
      <c r="A15" s="1143"/>
    </row>
    <row r="16" spans="1:1" x14ac:dyDescent="0.25">
      <c r="A16" s="1143"/>
    </row>
    <row r="17" spans="1:1" x14ac:dyDescent="0.25">
      <c r="A17" s="1143"/>
    </row>
    <row r="18" spans="1:1" x14ac:dyDescent="0.25">
      <c r="A18" s="1144"/>
    </row>
    <row r="19" spans="1:1" x14ac:dyDescent="0.25">
      <c r="A19" s="1145"/>
    </row>
    <row r="20" spans="1:1" x14ac:dyDescent="0.25">
      <c r="A20" s="1144"/>
    </row>
    <row r="21" spans="1:1" x14ac:dyDescent="0.25">
      <c r="A21" s="1144"/>
    </row>
    <row r="22" spans="1:1" x14ac:dyDescent="0.25">
      <c r="A22" s="1142"/>
    </row>
    <row r="23" spans="1:1" x14ac:dyDescent="0.25">
      <c r="A23" s="1142"/>
    </row>
    <row r="24" spans="1:1" x14ac:dyDescent="0.25">
      <c r="A24" s="1143"/>
    </row>
    <row r="25" spans="1:1" x14ac:dyDescent="0.25">
      <c r="A25" s="1143"/>
    </row>
    <row r="26" spans="1:1" x14ac:dyDescent="0.25">
      <c r="A26" s="1143"/>
    </row>
    <row r="27" spans="1:1" x14ac:dyDescent="0.25">
      <c r="A27" s="1143"/>
    </row>
    <row r="28" spans="1:1" x14ac:dyDescent="0.25">
      <c r="A28" s="1143"/>
    </row>
    <row r="29" spans="1:1" x14ac:dyDescent="0.25">
      <c r="A29" s="1143"/>
    </row>
    <row r="30" spans="1:1" x14ac:dyDescent="0.25">
      <c r="A30" s="1143"/>
    </row>
    <row r="31" spans="1:1" x14ac:dyDescent="0.25">
      <c r="A31" s="1143"/>
    </row>
    <row r="32" spans="1:1" x14ac:dyDescent="0.25">
      <c r="A32" s="1143"/>
    </row>
    <row r="33" spans="1:1" x14ac:dyDescent="0.25">
      <c r="A33" s="1143"/>
    </row>
    <row r="34" spans="1:1" x14ac:dyDescent="0.25">
      <c r="A34" s="1144"/>
    </row>
    <row r="35" spans="1:1" x14ac:dyDescent="0.25">
      <c r="A35" s="1145"/>
    </row>
    <row r="36" spans="1:1" x14ac:dyDescent="0.25">
      <c r="A36" s="1144"/>
    </row>
    <row r="37" spans="1:1" x14ac:dyDescent="0.25">
      <c r="A37" s="1144"/>
    </row>
    <row r="38" spans="1:1" x14ac:dyDescent="0.25">
      <c r="A38" s="1142"/>
    </row>
    <row r="39" spans="1:1" x14ac:dyDescent="0.25">
      <c r="A39" s="1142"/>
    </row>
    <row r="40" spans="1:1" x14ac:dyDescent="0.25">
      <c r="A40" s="1143"/>
    </row>
    <row r="41" spans="1:1" x14ac:dyDescent="0.25">
      <c r="A41" s="1143"/>
    </row>
    <row r="42" spans="1:1" x14ac:dyDescent="0.25">
      <c r="A42" s="1143"/>
    </row>
    <row r="43" spans="1:1" x14ac:dyDescent="0.25">
      <c r="A43" s="1143"/>
    </row>
    <row r="44" spans="1:1" x14ac:dyDescent="0.25">
      <c r="A44" s="1143"/>
    </row>
    <row r="45" spans="1:1" x14ac:dyDescent="0.25">
      <c r="A45" s="1143"/>
    </row>
    <row r="46" spans="1:1" x14ac:dyDescent="0.25">
      <c r="A46" s="1143"/>
    </row>
    <row r="47" spans="1:1" x14ac:dyDescent="0.25">
      <c r="A47" s="1143"/>
    </row>
    <row r="48" spans="1:1" x14ac:dyDescent="0.25">
      <c r="A48" s="1143"/>
    </row>
    <row r="49" spans="1:1" x14ac:dyDescent="0.25">
      <c r="A49" s="1143"/>
    </row>
    <row r="50" spans="1:1" x14ac:dyDescent="0.25">
      <c r="A50" s="1143"/>
    </row>
    <row r="51" spans="1:1" x14ac:dyDescent="0.25">
      <c r="A51" s="1143"/>
    </row>
    <row r="52" spans="1:1" x14ac:dyDescent="0.25">
      <c r="A52" s="1144"/>
    </row>
    <row r="53" spans="1:1" x14ac:dyDescent="0.25">
      <c r="A53" s="1145"/>
    </row>
    <row r="54" spans="1:1" x14ac:dyDescent="0.25">
      <c r="A54" s="1144"/>
    </row>
    <row r="55" spans="1:1" x14ac:dyDescent="0.25">
      <c r="A55" s="1144"/>
    </row>
    <row r="56" spans="1:1" x14ac:dyDescent="0.25">
      <c r="A56" s="1144"/>
    </row>
    <row r="57" spans="1:1" x14ac:dyDescent="0.25">
      <c r="A57" s="1146"/>
    </row>
    <row r="58" spans="1:1" x14ac:dyDescent="0.25">
      <c r="A58" s="1147"/>
    </row>
    <row r="59" spans="1:1" x14ac:dyDescent="0.25">
      <c r="A59" s="1147"/>
    </row>
    <row r="60" spans="1:1" x14ac:dyDescent="0.25">
      <c r="A60" s="1147"/>
    </row>
    <row r="61" spans="1:1" x14ac:dyDescent="0.25">
      <c r="A61" s="1147"/>
    </row>
    <row r="62" spans="1:1" x14ac:dyDescent="0.25">
      <c r="A62" s="1147"/>
    </row>
    <row r="63" spans="1:1" x14ac:dyDescent="0.25">
      <c r="A63" s="1147"/>
    </row>
    <row r="64" spans="1:1" x14ac:dyDescent="0.25">
      <c r="A64" s="1141"/>
    </row>
    <row r="65" spans="1:1" x14ac:dyDescent="0.25">
      <c r="A65" s="1142"/>
    </row>
    <row r="66" spans="1:1" x14ac:dyDescent="0.25">
      <c r="A66" s="1147"/>
    </row>
    <row r="67" spans="1:1" x14ac:dyDescent="0.25">
      <c r="A67" s="1147"/>
    </row>
    <row r="68" spans="1:1" x14ac:dyDescent="0.25">
      <c r="A68" s="1147"/>
    </row>
    <row r="69" spans="1:1" x14ac:dyDescent="0.25">
      <c r="A69" s="1147"/>
    </row>
    <row r="70" spans="1:1" x14ac:dyDescent="0.25">
      <c r="A70" s="1147"/>
    </row>
    <row r="71" spans="1:1" x14ac:dyDescent="0.25">
      <c r="A71" s="1147"/>
    </row>
    <row r="72" spans="1:1" x14ac:dyDescent="0.25">
      <c r="A72" s="1147"/>
    </row>
    <row r="73" spans="1:1" x14ac:dyDescent="0.25">
      <c r="A73" s="1147"/>
    </row>
    <row r="74" spans="1:1" x14ac:dyDescent="0.25">
      <c r="A74" s="1147"/>
    </row>
    <row r="75" spans="1:1" x14ac:dyDescent="0.25">
      <c r="A75" s="1147"/>
    </row>
    <row r="76" spans="1:1" x14ac:dyDescent="0.25">
      <c r="A76" s="1147"/>
    </row>
    <row r="77" spans="1:1" x14ac:dyDescent="0.25">
      <c r="A77" s="1141"/>
    </row>
    <row r="78" spans="1:1" x14ac:dyDescent="0.25">
      <c r="A78" s="1142"/>
    </row>
    <row r="79" spans="1:1" x14ac:dyDescent="0.25">
      <c r="A79" s="1148"/>
    </row>
    <row r="80" spans="1:1" x14ac:dyDescent="0.25">
      <c r="A80" s="1142"/>
    </row>
    <row r="81" spans="1:1" x14ac:dyDescent="0.25">
      <c r="A81" s="1141"/>
    </row>
    <row r="82" spans="1:1" x14ac:dyDescent="0.25">
      <c r="A82" s="1141"/>
    </row>
    <row r="83" spans="1:1" x14ac:dyDescent="0.25">
      <c r="A83" s="1142"/>
    </row>
    <row r="84" spans="1:1" x14ac:dyDescent="0.25">
      <c r="A84" s="1141"/>
    </row>
    <row r="85" spans="1:1" x14ac:dyDescent="0.25">
      <c r="A85" s="1141"/>
    </row>
    <row r="86" spans="1:1" x14ac:dyDescent="0.25">
      <c r="A86" s="1142"/>
    </row>
    <row r="87" spans="1:1" x14ac:dyDescent="0.25">
      <c r="A87" s="1141"/>
    </row>
    <row r="88" spans="1:1" x14ac:dyDescent="0.25">
      <c r="A88" s="1141"/>
    </row>
  </sheetData>
  <pageMargins left="0.7" right="0.7" top="0.75" bottom="0.75" header="0.3" footer="0.3"/>
  <pageSetup paperSize="9" scale="8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FAEAF-7F6C-4C65-ADC7-34444A7A26CE}">
  <sheetPr>
    <pageSetUpPr fitToPage="1"/>
  </sheetPr>
  <dimension ref="B2:P150"/>
  <sheetViews>
    <sheetView showWhiteSpace="0" zoomScale="85" zoomScaleNormal="85" zoomScaleSheetLayoutView="85" workbookViewId="0">
      <selection activeCell="H2" sqref="H2"/>
    </sheetView>
  </sheetViews>
  <sheetFormatPr defaultColWidth="9.140625" defaultRowHeight="12.75" x14ac:dyDescent="0.2"/>
  <cols>
    <col min="1" max="1" width="4.85546875" style="32" customWidth="1"/>
    <col min="2" max="2" width="61.42578125" style="32" bestFit="1" customWidth="1"/>
    <col min="3" max="3" width="11.140625" style="32" bestFit="1" customWidth="1"/>
    <col min="4" max="4" width="15" style="32" customWidth="1"/>
    <col min="5" max="5" width="17.28515625" style="32" customWidth="1"/>
    <col min="6" max="6" width="16.42578125" style="32" customWidth="1"/>
    <col min="7" max="7" width="3.7109375" style="32" customWidth="1"/>
    <col min="8" max="8" width="42.7109375" style="32" customWidth="1"/>
    <col min="9" max="13" width="17.7109375" style="32" customWidth="1"/>
    <col min="14" max="14" width="14.5703125" style="32" customWidth="1"/>
    <col min="15" max="15" width="9.140625" style="32"/>
    <col min="16" max="16" width="9.140625" style="32" customWidth="1"/>
    <col min="17" max="16384" width="9.140625" style="32"/>
  </cols>
  <sheetData>
    <row r="2" spans="2:15" ht="20.25" x14ac:dyDescent="0.2">
      <c r="B2" s="37" t="s">
        <v>81</v>
      </c>
      <c r="C2" s="102"/>
      <c r="D2" s="102"/>
      <c r="E2" s="102"/>
      <c r="F2" s="102"/>
      <c r="G2" s="102"/>
      <c r="H2" s="102"/>
      <c r="I2" s="102"/>
      <c r="J2" s="102"/>
      <c r="K2" s="102"/>
      <c r="L2" s="102"/>
      <c r="M2" s="102"/>
      <c r="N2" s="102"/>
      <c r="O2" s="102"/>
    </row>
    <row r="4" spans="2:15" ht="16.5" thickBot="1" x14ac:dyDescent="0.25">
      <c r="B4" s="39" t="s">
        <v>303</v>
      </c>
      <c r="C4" s="102"/>
      <c r="D4" s="102"/>
      <c r="E4" s="102"/>
      <c r="F4" s="102"/>
      <c r="G4" s="102"/>
      <c r="H4" s="102"/>
      <c r="I4" s="102"/>
      <c r="J4" s="102"/>
      <c r="K4" s="102"/>
      <c r="L4" s="102"/>
      <c r="M4" s="102"/>
      <c r="N4" s="102"/>
      <c r="O4" s="102"/>
    </row>
    <row r="5" spans="2:15" ht="15" customHeight="1" x14ac:dyDescent="0.2">
      <c r="B5" s="7" t="s">
        <v>82</v>
      </c>
      <c r="C5" s="165"/>
      <c r="D5" s="166"/>
      <c r="E5" s="102"/>
      <c r="F5" s="102"/>
      <c r="G5" s="102"/>
      <c r="H5" s="102"/>
      <c r="I5" s="102"/>
      <c r="J5" s="102"/>
      <c r="K5" s="102"/>
      <c r="L5" s="102"/>
      <c r="M5" s="102"/>
      <c r="N5" s="102"/>
      <c r="O5" s="102"/>
    </row>
    <row r="6" spans="2:15" ht="15" customHeight="1" x14ac:dyDescent="0.2">
      <c r="B6" s="1163" t="s">
        <v>51</v>
      </c>
      <c r="C6" s="1164"/>
      <c r="D6" s="167">
        <v>1</v>
      </c>
      <c r="E6" s="102"/>
      <c r="F6" s="102"/>
      <c r="G6" s="102"/>
      <c r="H6" s="102"/>
      <c r="I6" s="102"/>
      <c r="J6" s="102"/>
      <c r="K6" s="102"/>
      <c r="L6" s="102"/>
      <c r="M6" s="102"/>
      <c r="N6" s="102"/>
      <c r="O6" s="102"/>
    </row>
    <row r="7" spans="2:15" ht="15" customHeight="1" x14ac:dyDescent="0.2">
      <c r="B7" s="1163" t="s">
        <v>52</v>
      </c>
      <c r="C7" s="1164"/>
      <c r="D7" s="167" t="str">
        <f>INDEX('Referenčne količine'!$B$4:$G$15,MATCH(B7,('Referenčne količine'!$B$4:$B$15),0),MATCH($D$6,'Referenčne količine'!$B$5:$G$5,0))</f>
        <v>OB001</v>
      </c>
      <c r="E7" s="102"/>
      <c r="F7" s="102"/>
      <c r="G7" s="102"/>
      <c r="H7" s="102"/>
      <c r="I7" s="102"/>
      <c r="J7" s="102"/>
      <c r="K7" s="102"/>
      <c r="L7" s="102"/>
      <c r="M7" s="102"/>
      <c r="N7" s="102"/>
      <c r="O7" s="102"/>
    </row>
    <row r="8" spans="2:15" ht="39.950000000000003" customHeight="1" x14ac:dyDescent="0.2">
      <c r="B8" s="1163" t="s">
        <v>53</v>
      </c>
      <c r="C8" s="1164"/>
      <c r="D8" s="168" t="str">
        <f>INDEX('Referenčne količine'!$B$4:$G$15,MATCH(B8,('Referenčne količine'!$B$4:$B$15),0),MATCH($D$6,'Referenčne količine'!$B$5:$G$5,0))</f>
        <v>POŠ Rakitna</v>
      </c>
      <c r="E8" s="102"/>
      <c r="F8" s="102"/>
      <c r="G8" s="102"/>
      <c r="H8" s="102"/>
      <c r="I8" s="102"/>
      <c r="J8" s="102"/>
      <c r="K8" s="102"/>
      <c r="L8" s="102"/>
      <c r="M8" s="102"/>
      <c r="N8" s="102"/>
      <c r="O8" s="102"/>
    </row>
    <row r="9" spans="2:15" ht="15" customHeight="1" x14ac:dyDescent="0.2">
      <c r="B9" s="6" t="s">
        <v>54</v>
      </c>
      <c r="C9" s="5" t="s">
        <v>55</v>
      </c>
      <c r="D9" s="29">
        <f>INDEX('Referenčne količine'!$B$4:$G$15,MATCH(B9,('Referenčne količine'!$B$4:$B$15),0),MATCH($D$6,'Referenčne količine'!$B$5:$G$5,0))</f>
        <v>954.3</v>
      </c>
      <c r="E9" s="102"/>
      <c r="F9" s="102"/>
      <c r="G9" s="102"/>
      <c r="H9" s="102"/>
      <c r="I9" s="102"/>
      <c r="J9" s="102"/>
      <c r="K9" s="102"/>
      <c r="L9" s="102"/>
      <c r="M9" s="102"/>
      <c r="N9" s="102"/>
      <c r="O9" s="102"/>
    </row>
    <row r="10" spans="2:15" ht="15" customHeight="1" thickBot="1" x14ac:dyDescent="0.25">
      <c r="B10" s="3" t="s">
        <v>83</v>
      </c>
      <c r="C10" s="8"/>
      <c r="D10" s="9"/>
      <c r="E10" s="102"/>
      <c r="F10" s="102"/>
      <c r="G10" s="102"/>
      <c r="H10" s="39" t="s">
        <v>84</v>
      </c>
      <c r="I10" s="102"/>
      <c r="J10" s="102"/>
      <c r="K10" s="102"/>
      <c r="L10" s="102"/>
      <c r="M10" s="102"/>
      <c r="N10" s="102"/>
      <c r="O10" s="102"/>
    </row>
    <row r="11" spans="2:15" ht="15" customHeight="1" x14ac:dyDescent="0.2">
      <c r="B11" s="169" t="s">
        <v>63</v>
      </c>
      <c r="C11" s="170"/>
      <c r="D11" s="167" t="str">
        <f>INDEX('Referenčne količine'!$B$16:$G$36,MATCH(B11,('Referenčne količine'!$B$16:$B$36),0),MATCH($D$6,'Referenčne količine'!$B$5:$G$5,0))</f>
        <v>ELKO</v>
      </c>
      <c r="E11" s="102"/>
      <c r="F11" s="102"/>
      <c r="G11" s="102"/>
      <c r="H11" s="107" t="s">
        <v>84</v>
      </c>
      <c r="I11" s="108"/>
      <c r="J11" s="109"/>
      <c r="K11" s="50" t="str">
        <f>D7</f>
        <v>OB001</v>
      </c>
      <c r="L11" s="102"/>
      <c r="M11" s="102"/>
      <c r="N11" s="102"/>
      <c r="O11" s="102"/>
    </row>
    <row r="12" spans="2:15" ht="15" customHeight="1" x14ac:dyDescent="0.2">
      <c r="B12" s="171" t="s">
        <v>272</v>
      </c>
      <c r="C12" s="150" t="s">
        <v>64</v>
      </c>
      <c r="D12" s="29">
        <f>INDEX('Referenčne količine'!$B$16:$G$36,MATCH(B12,('Referenčne količine'!$B$16:$B$36),0),MATCH($D$6,'Referenčne količine'!$B$5:$G$5,0))</f>
        <v>142661</v>
      </c>
      <c r="E12" s="102"/>
      <c r="F12" s="102"/>
      <c r="G12" s="102"/>
      <c r="H12" s="1165" t="s">
        <v>85</v>
      </c>
      <c r="I12" s="1166"/>
      <c r="J12" s="1167"/>
      <c r="K12" s="51" t="s">
        <v>12</v>
      </c>
      <c r="L12" s="102"/>
      <c r="M12" s="102"/>
      <c r="N12" s="102"/>
      <c r="O12" s="242"/>
    </row>
    <row r="13" spans="2:15" ht="15" customHeight="1" x14ac:dyDescent="0.2">
      <c r="B13" s="171" t="s">
        <v>273</v>
      </c>
      <c r="C13" s="150" t="s">
        <v>64</v>
      </c>
      <c r="D13" s="29">
        <f>INDEX('Referenčne količine'!$B$16:$G$36,MATCH(B13,('Referenčne količine'!$B$16:$B$36),0),MATCH($D$6,'Referenčne količine'!$B$5:$G$5,0))</f>
        <v>0</v>
      </c>
      <c r="E13" s="102"/>
      <c r="F13" s="102"/>
      <c r="G13" s="102"/>
      <c r="H13" s="208" t="s" cm="1">
        <v>453</v>
      </c>
      <c r="I13" s="209"/>
      <c r="J13" s="210"/>
      <c r="K13" s="172"/>
      <c r="L13" s="102"/>
      <c r="M13" s="102"/>
      <c r="N13" s="102"/>
      <c r="O13" s="102"/>
    </row>
    <row r="14" spans="2:15" ht="15" customHeight="1" x14ac:dyDescent="0.2">
      <c r="B14" s="171" t="s">
        <v>274</v>
      </c>
      <c r="C14" s="150" t="s">
        <v>64</v>
      </c>
      <c r="D14" s="29">
        <f>INDEX('Referenčne količine'!$B$16:$G$36,MATCH(B14,('Referenčne količine'!$B$16:$B$36),0),MATCH($D$6,'Referenčne količine'!$B$5:$G$5,0))</f>
        <v>142661</v>
      </c>
      <c r="E14" s="102"/>
      <c r="F14" s="102"/>
      <c r="G14" s="102"/>
      <c r="H14" s="208" t="s">
        <v>454</v>
      </c>
      <c r="I14" s="209"/>
      <c r="J14" s="210"/>
      <c r="K14" s="172"/>
      <c r="L14" s="102"/>
      <c r="M14" s="102"/>
      <c r="N14" s="102"/>
      <c r="O14" s="102"/>
    </row>
    <row r="15" spans="2:15" ht="15" customHeight="1" x14ac:dyDescent="0.2">
      <c r="B15" s="171" t="s">
        <v>275</v>
      </c>
      <c r="C15" s="150" t="s">
        <v>64</v>
      </c>
      <c r="D15" s="29">
        <f>INDEX('Referenčne količine'!$B$16:$G$36,MATCH(B15,('Referenčne količine'!$B$16:$B$36),0),MATCH($D$6,'Referenčne količine'!$B$5:$G$5,0))</f>
        <v>121262.09285762922</v>
      </c>
      <c r="E15" s="102"/>
      <c r="F15" s="102"/>
      <c r="G15" s="102"/>
      <c r="H15" s="208" t="s">
        <v>455</v>
      </c>
      <c r="I15" s="209"/>
      <c r="J15" s="210"/>
      <c r="K15" s="172"/>
      <c r="L15" s="102"/>
      <c r="M15" s="102"/>
      <c r="N15" s="102"/>
      <c r="O15" s="102"/>
    </row>
    <row r="16" spans="2:15" ht="15" customHeight="1" x14ac:dyDescent="0.2">
      <c r="B16" s="171" t="s">
        <v>285</v>
      </c>
      <c r="C16" s="150" t="s">
        <v>64</v>
      </c>
      <c r="D16" s="29">
        <f>INDEX('Referenčne količine'!$B$16:$G$36,MATCH(B16,('Referenčne količine'!$B$16:$B$36),0),MATCH($D$6,'Referenčne količine'!$B$5:$G$5,0))</f>
        <v>21399.192857228685</v>
      </c>
      <c r="E16" s="102"/>
      <c r="F16" s="102"/>
      <c r="G16" s="102"/>
      <c r="H16" s="173" t="s">
        <v>456</v>
      </c>
      <c r="I16" s="174"/>
      <c r="J16" s="175"/>
      <c r="K16" s="172"/>
      <c r="L16" s="102"/>
      <c r="M16" s="102"/>
      <c r="N16" s="102"/>
      <c r="O16" s="102"/>
    </row>
    <row r="17" spans="2:15" ht="15" customHeight="1" x14ac:dyDescent="0.2">
      <c r="B17" s="171" t="s">
        <v>276</v>
      </c>
      <c r="C17" s="150" t="s">
        <v>64</v>
      </c>
      <c r="D17" s="29">
        <f>INDEX('Referenčne količine'!$B$16:$G$36,MATCH(B17,('Referenčne količine'!$B$16:$B$36),0),MATCH($D$6,'Referenčne količine'!$B$5:$G$5,0))</f>
        <v>0</v>
      </c>
      <c r="E17" s="102"/>
      <c r="F17" s="102"/>
      <c r="G17" s="102"/>
      <c r="H17" s="173" t="s">
        <v>457</v>
      </c>
      <c r="I17" s="174"/>
      <c r="J17" s="175"/>
      <c r="K17" s="172"/>
      <c r="L17" s="102"/>
      <c r="M17" s="102"/>
      <c r="N17" s="102"/>
      <c r="O17" s="102"/>
    </row>
    <row r="18" spans="2:15" ht="15" customHeight="1" thickBot="1" x14ac:dyDescent="0.25">
      <c r="B18" s="536"/>
      <c r="C18" s="482"/>
      <c r="D18" s="537"/>
      <c r="E18" s="102"/>
      <c r="F18" s="102"/>
      <c r="G18" s="102"/>
      <c r="H18" s="173"/>
      <c r="I18" s="174"/>
      <c r="J18" s="175"/>
      <c r="K18" s="172"/>
      <c r="L18" s="102"/>
      <c r="M18" s="102"/>
      <c r="N18" s="102"/>
      <c r="O18" s="102"/>
    </row>
    <row r="19" spans="2:15" ht="15" customHeight="1" x14ac:dyDescent="0.25">
      <c r="B19" s="487" t="s">
        <v>286</v>
      </c>
      <c r="C19" s="203" t="s">
        <v>64</v>
      </c>
      <c r="D19" s="540">
        <f>INDEX('Referenčne količine'!$B$16:$G$36,MATCH(B19,('Referenčne količine'!$B$16:$B$36),0),MATCH($D$6,'Referenčne količine'!$B$5:$G$5,0))</f>
        <v>119835</v>
      </c>
      <c r="E19" s="35"/>
      <c r="F19" s="102"/>
      <c r="G19" s="102"/>
      <c r="H19" s="173"/>
      <c r="I19" s="174"/>
      <c r="J19" s="175"/>
      <c r="K19" s="172"/>
      <c r="L19" s="102"/>
      <c r="M19" s="102"/>
      <c r="N19" s="102"/>
      <c r="O19" s="102"/>
    </row>
    <row r="20" spans="2:15" ht="15" customHeight="1" x14ac:dyDescent="0.2">
      <c r="B20" s="171" t="s">
        <v>287</v>
      </c>
      <c r="C20" s="150" t="s">
        <v>64</v>
      </c>
      <c r="D20" s="29">
        <f>INDEX('Referenčne količine'!$B$16:$G$36,MATCH(B20,('Referenčne količine'!$B$16:$B$36),0),MATCH($D$6,'Referenčne količine'!$B$5:$G$5,0))</f>
        <v>0</v>
      </c>
      <c r="E20" s="102"/>
      <c r="F20" s="102"/>
      <c r="G20" s="102"/>
      <c r="H20" s="173"/>
      <c r="I20" s="174"/>
      <c r="J20" s="175"/>
      <c r="K20" s="172"/>
      <c r="L20" s="102"/>
      <c r="M20" s="102"/>
      <c r="N20" s="102"/>
      <c r="O20" s="102"/>
    </row>
    <row r="21" spans="2:15" ht="15" customHeight="1" x14ac:dyDescent="0.2">
      <c r="B21" s="4" t="s">
        <v>288</v>
      </c>
      <c r="C21" s="2" t="s">
        <v>64</v>
      </c>
      <c r="D21" s="531">
        <f>INDEX('Referenčne količine'!$B$16:$G$36,MATCH(B21,('Referenčne količine'!$B$16:$B$36),0),MATCH($D$6,'Referenčne količine'!$B$5:$G$5,0))</f>
        <v>119835</v>
      </c>
      <c r="E21" s="102"/>
      <c r="F21" s="102"/>
      <c r="G21" s="102"/>
      <c r="H21" s="173"/>
      <c r="I21" s="174"/>
      <c r="J21" s="175"/>
      <c r="K21" s="172"/>
      <c r="L21" s="102"/>
      <c r="M21" s="102"/>
      <c r="N21" s="102"/>
      <c r="O21" s="102"/>
    </row>
    <row r="22" spans="2:15" ht="15" customHeight="1" x14ac:dyDescent="0.2">
      <c r="B22" s="171" t="s">
        <v>289</v>
      </c>
      <c r="C22" s="150" t="s">
        <v>64</v>
      </c>
      <c r="D22" s="29">
        <f>INDEX('Referenčne količine'!$B$16:$G$36,MATCH(B22,('Referenčne količine'!$B$16:$B$36),0),MATCH($D$6,'Referenčne količine'!$B$5:$G$5,0))</f>
        <v>101859.95399999998</v>
      </c>
      <c r="E22" s="102"/>
      <c r="F22" s="102"/>
      <c r="G22" s="102"/>
      <c r="H22" s="173"/>
      <c r="I22" s="174"/>
      <c r="J22" s="175"/>
      <c r="K22" s="172"/>
      <c r="L22" s="102"/>
      <c r="M22" s="102"/>
      <c r="N22" s="102"/>
      <c r="O22" s="102"/>
    </row>
    <row r="23" spans="2:15" ht="15" customHeight="1" x14ac:dyDescent="0.2">
      <c r="B23" s="171" t="s">
        <v>290</v>
      </c>
      <c r="C23" s="150" t="s">
        <v>64</v>
      </c>
      <c r="D23" s="29">
        <f>INDEX('Referenčne količine'!$B$16:$G$36,MATCH(B23,('Referenčne količine'!$B$16:$B$36),0),MATCH($D$6,'Referenčne količine'!$B$5:$G$5,0))</f>
        <v>17975.285999999996</v>
      </c>
      <c r="E23" s="102"/>
      <c r="F23" s="102"/>
      <c r="G23" s="102"/>
      <c r="H23" s="104"/>
      <c r="I23" s="105"/>
      <c r="J23" s="106"/>
      <c r="K23" s="172"/>
      <c r="L23" s="102"/>
      <c r="M23" s="97"/>
      <c r="N23" s="102"/>
      <c r="O23" s="102"/>
    </row>
    <row r="24" spans="2:15" ht="15" customHeight="1" x14ac:dyDescent="0.2">
      <c r="B24" s="171" t="s">
        <v>291</v>
      </c>
      <c r="C24" s="150" t="s">
        <v>64</v>
      </c>
      <c r="D24" s="29">
        <f>INDEX('Referenčne količine'!$B$16:$G$36,MATCH(B24,('Referenčne količine'!$B$16:$B$36),0),MATCH($D$6,'Referenčne količine'!$B$5:$G$5,0))</f>
        <v>0</v>
      </c>
      <c r="E24" s="102"/>
      <c r="F24" s="102"/>
      <c r="G24" s="102"/>
      <c r="H24" s="104"/>
      <c r="I24" s="105"/>
      <c r="J24" s="106"/>
      <c r="K24" s="172"/>
      <c r="L24" s="102"/>
      <c r="M24" s="102"/>
      <c r="N24" s="102"/>
      <c r="O24" s="102"/>
    </row>
    <row r="25" spans="2:15" ht="15" customHeight="1" thickBot="1" x14ac:dyDescent="0.25">
      <c r="B25" s="204"/>
      <c r="C25" s="217"/>
      <c r="D25" s="541"/>
      <c r="E25" s="102"/>
      <c r="F25" s="102"/>
      <c r="G25" s="102"/>
      <c r="H25" s="104"/>
      <c r="I25" s="105"/>
      <c r="J25" s="106"/>
      <c r="K25" s="172"/>
      <c r="L25" s="102"/>
      <c r="M25" s="102"/>
      <c r="N25" s="102"/>
      <c r="O25" s="102"/>
    </row>
    <row r="26" spans="2:15" ht="15" customHeight="1" x14ac:dyDescent="0.2">
      <c r="B26" s="538" t="s">
        <v>268</v>
      </c>
      <c r="C26" s="486" t="s">
        <v>66</v>
      </c>
      <c r="D26" s="539">
        <f>INDEX('Referenčne količine'!$B$16:$G$36,MATCH(B26,('Referenčne količine'!$B$16:$B$36),0),MATCH($D$6,'Referenčne količine'!$B$5:$G$5,0))</f>
        <v>115.00003504812108</v>
      </c>
      <c r="E26" s="102"/>
      <c r="F26" s="102"/>
      <c r="G26" s="102"/>
      <c r="H26" s="104"/>
      <c r="I26" s="105"/>
      <c r="J26" s="106"/>
      <c r="K26" s="172"/>
      <c r="L26" s="102"/>
      <c r="M26" s="102"/>
      <c r="N26" s="102"/>
      <c r="O26" s="102"/>
    </row>
    <row r="27" spans="2:15" ht="15" customHeight="1" x14ac:dyDescent="0.2">
      <c r="B27" s="171" t="s">
        <v>292</v>
      </c>
      <c r="C27" s="150" t="s">
        <v>66</v>
      </c>
      <c r="D27" s="176">
        <f>INDEX('Referenčne količine'!$B$16:$G$36,MATCH(B27,('Referenčne količine'!$B$16:$B$36),0),MATCH($D$6,'Referenčne količine'!$B$5:$G$5,0))</f>
        <v>136.90507781532941</v>
      </c>
      <c r="E27" s="102"/>
      <c r="F27" s="102"/>
      <c r="G27" s="102"/>
      <c r="H27" s="104"/>
      <c r="I27" s="105"/>
      <c r="J27" s="106"/>
      <c r="K27" s="172"/>
      <c r="L27" s="102"/>
      <c r="M27" s="127"/>
      <c r="N27" s="102"/>
      <c r="O27" s="102"/>
    </row>
    <row r="28" spans="2:15" ht="15" customHeight="1" x14ac:dyDescent="0.2">
      <c r="B28" s="171" t="s">
        <v>67</v>
      </c>
      <c r="C28" s="150" t="s">
        <v>68</v>
      </c>
      <c r="D28" s="177">
        <f>INDEX('Referenčne količine'!$B$16:$G$36,MATCH(B28,('Referenčne količine'!$B$16:$B$36),0),MATCH($D$6,'Referenčne količine'!$B$5:$G$5,0))</f>
        <v>16406.02</v>
      </c>
      <c r="E28" s="102"/>
      <c r="F28" s="102"/>
      <c r="G28" s="102"/>
      <c r="H28" s="104"/>
      <c r="I28" s="105"/>
      <c r="J28" s="106"/>
      <c r="K28" s="172"/>
      <c r="L28" s="102"/>
      <c r="M28" s="102"/>
      <c r="N28" s="102"/>
      <c r="O28" s="102"/>
    </row>
    <row r="29" spans="2:15" ht="15" customHeight="1" x14ac:dyDescent="0.2">
      <c r="B29" s="171" t="s">
        <v>69</v>
      </c>
      <c r="C29" s="150" t="s">
        <v>68</v>
      </c>
      <c r="D29" s="177">
        <f>INDEX('Referenčne količine'!$B$16:$G$36,MATCH(B29,('Referenčne količine'!$B$16:$B$36),0),MATCH($D$6,'Referenčne količine'!$B$5:$G$5,0))</f>
        <v>0</v>
      </c>
      <c r="E29" s="102"/>
      <c r="F29" s="102"/>
      <c r="G29" s="102"/>
      <c r="H29" s="104"/>
      <c r="I29" s="105"/>
      <c r="J29" s="106"/>
      <c r="K29" s="172"/>
      <c r="L29" s="102"/>
      <c r="M29" s="102"/>
      <c r="N29" s="102"/>
      <c r="O29" s="102"/>
    </row>
    <row r="30" spans="2:15" ht="15" customHeight="1" x14ac:dyDescent="0.2">
      <c r="B30" s="171" t="s">
        <v>277</v>
      </c>
      <c r="C30" s="150" t="s">
        <v>68</v>
      </c>
      <c r="D30" s="177">
        <f>INDEX('Referenčne količine'!$B$16:$G$36,MATCH(B30,('Referenčne količine'!$B$16:$B$36),0),MATCH($D$6,'Referenčne količine'!$B$5:$G$5,0))</f>
        <v>16406.02</v>
      </c>
      <c r="E30" s="102"/>
      <c r="F30" s="102"/>
      <c r="G30" s="102"/>
      <c r="H30" s="126"/>
      <c r="I30" s="174"/>
      <c r="J30" s="175"/>
      <c r="K30" s="172"/>
      <c r="L30" s="102"/>
      <c r="M30" s="102"/>
      <c r="N30" s="102"/>
      <c r="O30" s="102"/>
    </row>
    <row r="31" spans="2:15" ht="15" customHeight="1" x14ac:dyDescent="0.2">
      <c r="B31" s="10" t="s">
        <v>86</v>
      </c>
      <c r="C31" s="11"/>
      <c r="D31" s="12"/>
      <c r="E31" s="102"/>
      <c r="F31" s="102"/>
      <c r="G31" s="102"/>
      <c r="H31" s="173"/>
      <c r="I31" s="174"/>
      <c r="J31" s="175"/>
      <c r="K31" s="172"/>
      <c r="L31" s="102"/>
      <c r="M31" s="102"/>
      <c r="N31" s="102"/>
      <c r="O31" s="102"/>
    </row>
    <row r="32" spans="2:15" ht="15" customHeight="1" x14ac:dyDescent="0.2">
      <c r="B32" s="178" t="s">
        <v>278</v>
      </c>
      <c r="C32" s="155" t="s">
        <v>64</v>
      </c>
      <c r="D32" s="29">
        <f>INDEX('Referenčne količine'!$B$37:$G$47,MATCH(B32,('Referenčne količine'!$B$37:$B$47),0),MATCH($D$6,'Referenčne količine'!$B$5:$G$5,0))</f>
        <v>23979</v>
      </c>
      <c r="E32" s="102"/>
      <c r="F32" s="102"/>
      <c r="G32" s="102"/>
      <c r="H32" s="173"/>
      <c r="I32" s="174"/>
      <c r="J32" s="175"/>
      <c r="K32" s="172"/>
      <c r="L32" s="102"/>
      <c r="M32" s="102"/>
      <c r="N32" s="102"/>
      <c r="O32" s="102"/>
    </row>
    <row r="33" spans="2:12" ht="15" customHeight="1" x14ac:dyDescent="0.2">
      <c r="B33" s="178" t="s">
        <v>279</v>
      </c>
      <c r="C33" s="155" t="s">
        <v>64</v>
      </c>
      <c r="D33" s="29">
        <f>INDEX('Referenčne količine'!$B$37:$G$47,MATCH(B33,('Referenčne količine'!$B$37:$B$47),0),MATCH($D$6,'Referenčne količine'!$B$5:$G$5,0))</f>
        <v>10815.000000000002</v>
      </c>
      <c r="E33" s="102"/>
      <c r="F33" s="102"/>
      <c r="G33" s="102"/>
      <c r="H33" s="110" t="s">
        <v>87</v>
      </c>
      <c r="I33" s="111"/>
      <c r="J33" s="112"/>
      <c r="K33" s="179">
        <f>SUM(K13:K32)</f>
        <v>0</v>
      </c>
      <c r="L33" s="102"/>
    </row>
    <row r="34" spans="2:12" ht="15" customHeight="1" x14ac:dyDescent="0.2">
      <c r="B34" s="178" t="s">
        <v>280</v>
      </c>
      <c r="C34" s="155" t="s">
        <v>64</v>
      </c>
      <c r="D34" s="29">
        <f>INDEX('Referenčne količine'!$B$37:$G$47,MATCH(B34,('Referenčne količine'!$B$37:$B$47),0),MATCH($D$6,'Referenčne količine'!$B$5:$G$5,0))</f>
        <v>34794</v>
      </c>
      <c r="E34" s="102"/>
      <c r="F34" s="102"/>
      <c r="G34" s="102"/>
      <c r="H34" s="110" t="s">
        <v>88</v>
      </c>
      <c r="I34" s="111"/>
      <c r="J34" s="112"/>
      <c r="K34" s="179">
        <f>0.22*K33</f>
        <v>0</v>
      </c>
      <c r="L34" s="102"/>
    </row>
    <row r="35" spans="2:12" ht="18.75" customHeight="1" thickBot="1" x14ac:dyDescent="0.25">
      <c r="B35" s="178" t="s">
        <v>281</v>
      </c>
      <c r="C35" s="155" t="s">
        <v>64</v>
      </c>
      <c r="D35" s="29">
        <f>INDEX('Referenčne količine'!$B$37:$G$47,MATCH(B35,('Referenčne količine'!$B$37:$B$47),0),MATCH($D$6,'Referenčne količine'!$B$5:$G$5,0))</f>
        <v>16250</v>
      </c>
      <c r="E35" s="102"/>
      <c r="F35" s="102"/>
      <c r="G35" s="102"/>
      <c r="H35" s="113" t="s">
        <v>89</v>
      </c>
      <c r="I35" s="114"/>
      <c r="J35" s="115"/>
      <c r="K35" s="180">
        <f>K33+K34</f>
        <v>0</v>
      </c>
      <c r="L35" s="102"/>
    </row>
    <row r="36" spans="2:12" ht="18.75" customHeight="1" x14ac:dyDescent="0.2">
      <c r="B36" s="178" t="s">
        <v>283</v>
      </c>
      <c r="C36" s="155" t="s">
        <v>64</v>
      </c>
      <c r="D36" s="29">
        <f>INDEX('Referenčne količine'!$B$37:$G$47,MATCH(B36,('Referenčne količine'!$B$37:$B$47),0),MATCH($D$6,'Referenčne količine'!$B$5:$G$5,0))</f>
        <v>0</v>
      </c>
      <c r="E36" s="102"/>
      <c r="F36" s="102"/>
      <c r="G36" s="102"/>
      <c r="H36" s="102"/>
      <c r="I36" s="102"/>
      <c r="J36" s="102"/>
      <c r="K36" s="102"/>
      <c r="L36" s="102"/>
    </row>
    <row r="37" spans="2:12" ht="18.75" customHeight="1" x14ac:dyDescent="0.2">
      <c r="B37" s="178" t="s">
        <v>282</v>
      </c>
      <c r="C37" s="155" t="s">
        <v>64</v>
      </c>
      <c r="D37" s="29">
        <f>INDEX('Referenčne količine'!$B$37:$G$47,MATCH(B37,('Referenčne količine'!$B$37:$B$47),0),MATCH($D$6,'Referenčne količine'!$B$5:$G$5,0))</f>
        <v>18203.637500000001</v>
      </c>
      <c r="E37" s="102"/>
      <c r="F37" s="102"/>
      <c r="G37" s="102"/>
      <c r="H37" s="102" t="s">
        <v>90</v>
      </c>
      <c r="I37" s="102"/>
      <c r="J37" s="102"/>
      <c r="K37" s="102"/>
      <c r="L37" s="102"/>
    </row>
    <row r="38" spans="2:12" ht="15" customHeight="1" x14ac:dyDescent="0.2">
      <c r="B38" s="178" t="s">
        <v>293</v>
      </c>
      <c r="C38" s="155" t="s">
        <v>66</v>
      </c>
      <c r="D38" s="176">
        <f>INDEX('Referenčne količine'!$B$37:$G$47,MATCH(B38,('Referenčne količine'!$B$37:$B$47),0),MATCH($D$6,'Referenčne količine'!$B$5:$G$5,0))</f>
        <v>167</v>
      </c>
      <c r="E38" s="102"/>
      <c r="F38" s="102"/>
      <c r="G38" s="102"/>
      <c r="H38" s="102"/>
      <c r="I38" s="102"/>
      <c r="J38" s="102"/>
      <c r="K38" s="102"/>
      <c r="L38" s="102"/>
    </row>
    <row r="39" spans="2:12" ht="15" customHeight="1" x14ac:dyDescent="0.2">
      <c r="B39" s="178" t="s">
        <v>67</v>
      </c>
      <c r="C39" s="155" t="s">
        <v>68</v>
      </c>
      <c r="D39" s="177">
        <f>INDEX('Referenčne količine'!$B$37:$G$47,MATCH(B39,('Referenčne količine'!$B$37:$B$47),0),MATCH($D$6,'Referenčne količine'!$B$5:$G$5,0))</f>
        <v>4004.4930000000004</v>
      </c>
      <c r="E39" s="102"/>
      <c r="F39" s="102"/>
      <c r="G39" s="102"/>
      <c r="H39" s="102"/>
      <c r="I39" s="102"/>
      <c r="J39" s="102"/>
      <c r="K39" s="102"/>
      <c r="L39" s="102"/>
    </row>
    <row r="40" spans="2:12" ht="15" customHeight="1" x14ac:dyDescent="0.2">
      <c r="B40" s="178" t="s">
        <v>69</v>
      </c>
      <c r="C40" s="155" t="s">
        <v>68</v>
      </c>
      <c r="D40" s="177">
        <f>INDEX('Referenčne količine'!$B$37:$G$47,MATCH(B40,('Referenčne količine'!$B$37:$B$47),0),MATCH($D$6,'Referenčne količine'!$B$5:$G$5,0))</f>
        <v>1806.1050000000002</v>
      </c>
      <c r="E40" s="102"/>
      <c r="F40" s="102"/>
      <c r="G40" s="102"/>
      <c r="H40" s="102"/>
      <c r="I40" s="102"/>
      <c r="J40" s="102"/>
      <c r="K40" s="102"/>
      <c r="L40" s="102"/>
    </row>
    <row r="41" spans="2:12" x14ac:dyDescent="0.2">
      <c r="B41" s="178" t="s">
        <v>70</v>
      </c>
      <c r="C41" s="155" t="s">
        <v>68</v>
      </c>
      <c r="D41" s="177">
        <f>INDEX('Referenčne količine'!$B$37:$G$47,MATCH(B41,('Referenčne količine'!$B$37:$B$47),0),MATCH($D$6,'Referenčne količine'!$B$5:$G$5,0))</f>
        <v>5810.598</v>
      </c>
    </row>
    <row r="42" spans="2:12" x14ac:dyDescent="0.2">
      <c r="B42" s="13" t="s">
        <v>71</v>
      </c>
      <c r="C42" s="14"/>
      <c r="D42" s="15"/>
    </row>
    <row r="43" spans="2:12" x14ac:dyDescent="0.2">
      <c r="B43" s="181" t="s">
        <v>72</v>
      </c>
      <c r="C43" s="159" t="s">
        <v>68</v>
      </c>
      <c r="D43" s="177">
        <f>INDEX('Referenčne količine'!$B$48:$G$49,MATCH(B43,('Referenčne količine'!$B$48:$B$49),0),MATCH($D$6,'Referenčne količine'!$B$5:$G$5,0))</f>
        <v>5726</v>
      </c>
      <c r="E43" s="102"/>
      <c r="F43" s="102"/>
      <c r="G43" s="102"/>
      <c r="H43" s="102"/>
      <c r="I43" s="102"/>
      <c r="J43" s="102"/>
      <c r="K43" s="102"/>
      <c r="L43" s="87"/>
    </row>
    <row r="44" spans="2:12" x14ac:dyDescent="0.2">
      <c r="B44" s="16" t="s">
        <v>73</v>
      </c>
      <c r="C44" s="17"/>
      <c r="D44" s="18"/>
    </row>
    <row r="45" spans="2:12" x14ac:dyDescent="0.2">
      <c r="B45" s="182" t="s">
        <v>74</v>
      </c>
      <c r="C45" s="163" t="s">
        <v>68</v>
      </c>
      <c r="D45" s="177">
        <f>INDEX('Referenčne količine'!$B$50:$G$52,MATCH(B45,('Referenčne količine'!$B$50:$B$52),0),MATCH($D$6,'Referenčne količine'!$B$5:$G$5,0))</f>
        <v>26136.512999999999</v>
      </c>
      <c r="E45" s="102"/>
      <c r="F45" s="102"/>
      <c r="G45" s="102"/>
      <c r="H45" s="102"/>
      <c r="I45" s="102"/>
      <c r="J45" s="102"/>
      <c r="K45" s="102"/>
      <c r="L45" s="102"/>
    </row>
    <row r="46" spans="2:12" ht="13.5" thickBot="1" x14ac:dyDescent="0.25">
      <c r="B46" s="183" t="s">
        <v>284</v>
      </c>
      <c r="C46" s="184" t="s">
        <v>68</v>
      </c>
      <c r="D46" s="185">
        <f>INDEX('Referenčne količine'!$B$50:$G$52,MATCH(B46,('Referenčne količine'!$B$50:$B$52),0),MATCH($D$6,'Referenčne količine'!$B$5:$G$5,0))</f>
        <v>27942.618000000002</v>
      </c>
    </row>
    <row r="47" spans="2:12" x14ac:dyDescent="0.2">
      <c r="E47" s="102"/>
      <c r="F47" s="102"/>
      <c r="G47" s="102"/>
      <c r="H47" s="102"/>
      <c r="I47" s="102"/>
      <c r="J47" s="102"/>
      <c r="K47" s="102"/>
      <c r="L47" s="102"/>
    </row>
    <row r="54" spans="2:16" ht="16.5" thickBot="1" x14ac:dyDescent="0.3">
      <c r="B54" s="39" t="s">
        <v>304</v>
      </c>
      <c r="C54" s="102"/>
      <c r="D54" s="102"/>
      <c r="E54" s="102"/>
      <c r="F54" s="102"/>
      <c r="G54" s="102"/>
      <c r="H54" s="39" t="s">
        <v>91</v>
      </c>
      <c r="I54" s="102"/>
      <c r="J54" s="102"/>
      <c r="K54" s="102"/>
      <c r="L54" s="102"/>
      <c r="M54" s="102"/>
      <c r="N54" s="35"/>
      <c r="O54" s="35"/>
      <c r="P54" s="35"/>
    </row>
    <row r="55" spans="2:16" ht="15" customHeight="1" x14ac:dyDescent="0.25">
      <c r="B55" s="1168" t="s">
        <v>92</v>
      </c>
      <c r="C55" s="1169"/>
      <c r="D55" s="1169"/>
      <c r="E55" s="1170"/>
      <c r="F55" s="102"/>
      <c r="G55" s="102"/>
      <c r="H55" s="1171" t="s">
        <v>93</v>
      </c>
      <c r="I55" s="1172"/>
      <c r="J55" s="1173"/>
      <c r="K55" s="102"/>
      <c r="L55" s="102"/>
      <c r="M55" s="102"/>
      <c r="N55" s="1156"/>
      <c r="O55" s="1156"/>
      <c r="P55" s="1156"/>
    </row>
    <row r="56" spans="2:16" ht="15" customHeight="1" x14ac:dyDescent="0.25">
      <c r="B56" s="187" t="s">
        <v>306</v>
      </c>
      <c r="C56" s="508" t="str">
        <f>D11</f>
        <v>ELKO</v>
      </c>
      <c r="D56" s="122" t="s">
        <v>64</v>
      </c>
      <c r="E56" s="29">
        <f>SUM(J83:M83)</f>
        <v>0</v>
      </c>
      <c r="F56" s="102"/>
      <c r="G56" s="102"/>
      <c r="H56" s="25" t="s">
        <v>95</v>
      </c>
      <c r="I56" s="26" t="s">
        <v>96</v>
      </c>
      <c r="J56" s="27" t="s">
        <v>97</v>
      </c>
      <c r="K56" s="102"/>
      <c r="L56" s="102"/>
      <c r="M56" s="102"/>
      <c r="N56" s="35"/>
      <c r="O56" s="35"/>
      <c r="P56" s="35"/>
    </row>
    <row r="57" spans="2:16" ht="15" customHeight="1" x14ac:dyDescent="0.25">
      <c r="B57" s="187" t="s">
        <v>307</v>
      </c>
      <c r="C57" s="508" t="s">
        <v>99</v>
      </c>
      <c r="D57" s="122" t="s">
        <v>64</v>
      </c>
      <c r="E57" s="29">
        <f>SUM(J84:M84)</f>
        <v>0</v>
      </c>
      <c r="F57" s="102"/>
      <c r="G57" s="102"/>
      <c r="H57" s="28">
        <v>1</v>
      </c>
      <c r="I57" s="23">
        <f t="shared" ref="I57:I71" si="0">$E$88</f>
        <v>27942.618000000002</v>
      </c>
      <c r="J57" s="24">
        <f t="shared" ref="J57:J71" si="1">I57/((1+$J$74)^H57)</f>
        <v>26867.901923076923</v>
      </c>
      <c r="K57" s="102"/>
      <c r="L57" s="102"/>
      <c r="M57" s="102"/>
      <c r="N57" s="35"/>
      <c r="O57" s="35"/>
      <c r="P57" s="35"/>
    </row>
    <row r="58" spans="2:16" ht="15" customHeight="1" x14ac:dyDescent="0.25">
      <c r="B58" s="187" t="s">
        <v>308</v>
      </c>
      <c r="C58" s="509" t="s">
        <v>31</v>
      </c>
      <c r="D58" s="122" t="s">
        <v>64</v>
      </c>
      <c r="E58" s="29">
        <f>SUM(J85:M85)</f>
        <v>0</v>
      </c>
      <c r="F58" s="102"/>
      <c r="G58" s="102"/>
      <c r="H58" s="28">
        <v>2</v>
      </c>
      <c r="I58" s="23">
        <f t="shared" si="0"/>
        <v>27942.618000000002</v>
      </c>
      <c r="J58" s="24">
        <f t="shared" si="1"/>
        <v>25834.521079881655</v>
      </c>
      <c r="K58" s="102"/>
      <c r="L58" s="102"/>
      <c r="M58" s="102"/>
      <c r="N58" s="35"/>
      <c r="O58" s="35"/>
      <c r="P58" s="35"/>
    </row>
    <row r="59" spans="2:16" ht="15" customHeight="1" x14ac:dyDescent="0.25">
      <c r="B59" s="527" t="s">
        <v>318</v>
      </c>
      <c r="C59" s="530"/>
      <c r="D59" s="99" t="s">
        <v>64</v>
      </c>
      <c r="E59" s="531">
        <f>SUM(E56:E58)</f>
        <v>0</v>
      </c>
      <c r="F59" s="102"/>
      <c r="G59" s="102"/>
      <c r="H59" s="28">
        <v>3</v>
      </c>
      <c r="I59" s="23">
        <f t="shared" si="0"/>
        <v>27942.618000000002</v>
      </c>
      <c r="J59" s="24">
        <f t="shared" si="1"/>
        <v>24840.885653732363</v>
      </c>
      <c r="K59" s="102"/>
      <c r="L59" s="102"/>
      <c r="M59" s="102"/>
      <c r="N59" s="35"/>
      <c r="O59" s="35"/>
      <c r="P59" s="35"/>
    </row>
    <row r="60" spans="2:16" ht="15" customHeight="1" x14ac:dyDescent="0.25">
      <c r="B60" s="527" t="s">
        <v>322</v>
      </c>
      <c r="C60" s="530"/>
      <c r="D60" s="99" t="s">
        <v>64</v>
      </c>
      <c r="E60" s="531">
        <f>N87</f>
        <v>0</v>
      </c>
      <c r="F60" s="102"/>
      <c r="G60" s="102"/>
      <c r="H60" s="28">
        <v>4</v>
      </c>
      <c r="I60" s="23">
        <f t="shared" si="0"/>
        <v>27942.618000000002</v>
      </c>
      <c r="J60" s="24">
        <f t="shared" si="1"/>
        <v>23885.466974742652</v>
      </c>
      <c r="K60" s="102"/>
      <c r="L60" s="102"/>
      <c r="M60" s="102"/>
      <c r="N60" s="35"/>
      <c r="O60" s="35"/>
      <c r="P60" s="35"/>
    </row>
    <row r="61" spans="2:16" ht="15" customHeight="1" x14ac:dyDescent="0.25">
      <c r="B61" s="187" t="s">
        <v>309</v>
      </c>
      <c r="C61" s="508" t="str">
        <f>C56</f>
        <v>ELKO</v>
      </c>
      <c r="D61" s="122" t="s">
        <v>66</v>
      </c>
      <c r="E61" s="186">
        <f>D26</f>
        <v>115.00003504812108</v>
      </c>
      <c r="F61" s="102"/>
      <c r="G61" s="102"/>
      <c r="H61" s="28">
        <v>5</v>
      </c>
      <c r="I61" s="23">
        <f t="shared" si="0"/>
        <v>27942.618000000002</v>
      </c>
      <c r="J61" s="24">
        <f t="shared" si="1"/>
        <v>22966.795168021781</v>
      </c>
      <c r="K61" s="102"/>
      <c r="L61" s="102"/>
      <c r="M61" s="102"/>
      <c r="N61" s="35"/>
      <c r="O61" s="35"/>
      <c r="P61" s="35"/>
    </row>
    <row r="62" spans="2:16" ht="15" customHeight="1" x14ac:dyDescent="0.25">
      <c r="B62" s="187" t="s">
        <v>310</v>
      </c>
      <c r="C62" s="508" t="str">
        <f>C57</f>
        <v>EE za TČ</v>
      </c>
      <c r="D62" s="122" t="s">
        <v>66</v>
      </c>
      <c r="E62" s="186">
        <f>D38</f>
        <v>167</v>
      </c>
      <c r="F62" s="102"/>
      <c r="G62" s="102"/>
      <c r="H62" s="28">
        <v>6</v>
      </c>
      <c r="I62" s="23">
        <f t="shared" si="0"/>
        <v>27942.618000000002</v>
      </c>
      <c r="J62" s="24">
        <f t="shared" si="1"/>
        <v>22083.456892328635</v>
      </c>
      <c r="K62" s="102"/>
      <c r="L62" s="102"/>
      <c r="M62" s="102"/>
      <c r="N62" s="35"/>
      <c r="O62" s="35"/>
      <c r="P62" s="35"/>
    </row>
    <row r="63" spans="2:16" ht="15" customHeight="1" x14ac:dyDescent="0.25">
      <c r="B63" s="187" t="s">
        <v>311</v>
      </c>
      <c r="C63" s="509" t="str">
        <f>C58</f>
        <v>*vpiši</v>
      </c>
      <c r="D63" s="122" t="s">
        <v>66</v>
      </c>
      <c r="E63" s="186">
        <v>0</v>
      </c>
      <c r="F63" s="102"/>
      <c r="G63" s="102"/>
      <c r="H63" s="28">
        <v>7</v>
      </c>
      <c r="I63" s="23">
        <f t="shared" si="0"/>
        <v>27942.618000000002</v>
      </c>
      <c r="J63" s="24">
        <f t="shared" si="1"/>
        <v>21234.093165700611</v>
      </c>
      <c r="K63" s="102"/>
      <c r="L63" s="102"/>
      <c r="M63" s="102"/>
      <c r="N63" s="35"/>
      <c r="O63" s="35"/>
      <c r="P63" s="35"/>
    </row>
    <row r="64" spans="2:16" ht="15" customHeight="1" x14ac:dyDescent="0.25">
      <c r="B64" s="187" t="s">
        <v>292</v>
      </c>
      <c r="C64" s="509"/>
      <c r="D64" s="122" t="s">
        <v>66</v>
      </c>
      <c r="E64" s="186">
        <f>IFERROR(E70/E60*1000,0)</f>
        <v>0</v>
      </c>
      <c r="F64" s="102"/>
      <c r="G64" s="102"/>
      <c r="H64" s="28">
        <v>8</v>
      </c>
      <c r="I64" s="23">
        <f t="shared" si="0"/>
        <v>27942.618000000002</v>
      </c>
      <c r="J64" s="24">
        <f t="shared" si="1"/>
        <v>20417.397274712122</v>
      </c>
      <c r="K64" s="102"/>
      <c r="L64" s="102"/>
      <c r="M64" s="102"/>
      <c r="N64" s="35"/>
      <c r="O64" s="35"/>
      <c r="P64" s="35"/>
    </row>
    <row r="65" spans="2:16" ht="15" customHeight="1" x14ac:dyDescent="0.25">
      <c r="B65" s="187" t="s">
        <v>312</v>
      </c>
      <c r="C65" s="508" t="str">
        <f>C56</f>
        <v>ELKO</v>
      </c>
      <c r="D65" s="122" t="s">
        <v>64</v>
      </c>
      <c r="E65" s="30">
        <f>D14-E56</f>
        <v>142661</v>
      </c>
      <c r="F65" s="102"/>
      <c r="G65" s="102"/>
      <c r="H65" s="28">
        <v>9</v>
      </c>
      <c r="I65" s="23">
        <f t="shared" si="0"/>
        <v>27942.618000000002</v>
      </c>
      <c r="J65" s="24">
        <f t="shared" si="1"/>
        <v>19632.11276414627</v>
      </c>
      <c r="K65" s="102"/>
      <c r="L65" s="102"/>
      <c r="M65" s="102"/>
      <c r="N65" s="35"/>
      <c r="O65" s="35"/>
      <c r="P65" s="35"/>
    </row>
    <row r="66" spans="2:16" ht="15" customHeight="1" x14ac:dyDescent="0.25">
      <c r="B66" s="187" t="s">
        <v>313</v>
      </c>
      <c r="C66" s="508" t="str">
        <f>C57</f>
        <v>EE za TČ</v>
      </c>
      <c r="D66" s="122" t="s">
        <v>64</v>
      </c>
      <c r="E66" s="30">
        <f>(-1)*E57</f>
        <v>0</v>
      </c>
      <c r="F66" s="102"/>
      <c r="G66" s="102"/>
      <c r="H66" s="28">
        <v>10</v>
      </c>
      <c r="I66" s="23">
        <f t="shared" si="0"/>
        <v>27942.618000000002</v>
      </c>
      <c r="J66" s="24">
        <f t="shared" si="1"/>
        <v>18877.0315039868</v>
      </c>
      <c r="K66" s="102"/>
      <c r="L66" s="102"/>
      <c r="M66" s="102"/>
      <c r="N66" s="35"/>
      <c r="O66" s="35"/>
      <c r="P66" s="35"/>
    </row>
    <row r="67" spans="2:16" ht="15" customHeight="1" x14ac:dyDescent="0.25">
      <c r="B67" s="187" t="s">
        <v>314</v>
      </c>
      <c r="C67" s="508" t="str">
        <f>C58</f>
        <v>*vpiši</v>
      </c>
      <c r="D67" s="122" t="s">
        <v>64</v>
      </c>
      <c r="E67" s="30">
        <f>(-1)*E58</f>
        <v>0</v>
      </c>
      <c r="F67" s="102"/>
      <c r="G67" s="102"/>
      <c r="H67" s="28">
        <v>11</v>
      </c>
      <c r="I67" s="23">
        <f t="shared" si="0"/>
        <v>27942.618000000002</v>
      </c>
      <c r="J67" s="24">
        <f t="shared" si="1"/>
        <v>18150.991830756539</v>
      </c>
      <c r="K67" s="102"/>
      <c r="L67" s="102"/>
      <c r="M67" s="102"/>
      <c r="N67" s="35"/>
      <c r="O67" s="35"/>
      <c r="P67" s="35"/>
    </row>
    <row r="68" spans="2:16" ht="15" customHeight="1" x14ac:dyDescent="0.25">
      <c r="B68" s="527" t="s">
        <v>317</v>
      </c>
      <c r="C68" s="528"/>
      <c r="D68" s="99" t="s">
        <v>64</v>
      </c>
      <c r="E68" s="529">
        <f>SUM(E65:E67)</f>
        <v>142661</v>
      </c>
      <c r="F68" s="102"/>
      <c r="G68" s="102"/>
      <c r="H68" s="28">
        <v>12</v>
      </c>
      <c r="I68" s="23">
        <f t="shared" si="0"/>
        <v>27942.618000000002</v>
      </c>
      <c r="J68" s="24">
        <f t="shared" si="1"/>
        <v>17452.87676034282</v>
      </c>
      <c r="K68" s="102"/>
      <c r="L68" s="102"/>
      <c r="M68" s="102"/>
      <c r="N68" s="35"/>
      <c r="O68" s="35"/>
      <c r="P68" s="35"/>
    </row>
    <row r="69" spans="2:16" ht="15" customHeight="1" x14ac:dyDescent="0.25">
      <c r="B69" s="527" t="s">
        <v>323</v>
      </c>
      <c r="C69" s="528"/>
      <c r="D69" s="99" t="s">
        <v>64</v>
      </c>
      <c r="E69" s="529">
        <f>D21-E60</f>
        <v>119835</v>
      </c>
      <c r="F69" s="102"/>
      <c r="G69" s="102"/>
      <c r="H69" s="28">
        <v>13</v>
      </c>
      <c r="I69" s="23">
        <f t="shared" si="0"/>
        <v>27942.618000000002</v>
      </c>
      <c r="J69" s="24">
        <f t="shared" si="1"/>
        <v>16781.612269560406</v>
      </c>
      <c r="K69" s="102"/>
      <c r="L69" s="102"/>
      <c r="M69" s="102"/>
      <c r="N69" s="35"/>
      <c r="O69" s="35"/>
      <c r="P69" s="35"/>
    </row>
    <row r="70" spans="2:16" ht="15" customHeight="1" x14ac:dyDescent="0.25">
      <c r="B70" s="187" t="s">
        <v>315</v>
      </c>
      <c r="C70" s="188"/>
      <c r="D70" s="122" t="s">
        <v>68</v>
      </c>
      <c r="E70" s="179">
        <f>(E56*E61+E57*E62+E58*E63)/1000</f>
        <v>0</v>
      </c>
      <c r="F70" s="102"/>
      <c r="G70" s="102"/>
      <c r="H70" s="28">
        <v>14</v>
      </c>
      <c r="I70" s="23">
        <f t="shared" si="0"/>
        <v>27942.618000000002</v>
      </c>
      <c r="J70" s="24">
        <f t="shared" si="1"/>
        <v>16136.165643808083</v>
      </c>
      <c r="K70" s="102"/>
      <c r="L70" s="102"/>
      <c r="M70" s="102"/>
      <c r="N70" s="35"/>
      <c r="O70" s="35"/>
      <c r="P70" s="35"/>
    </row>
    <row r="71" spans="2:16" ht="15" customHeight="1" x14ac:dyDescent="0.25">
      <c r="B71" s="527" t="s">
        <v>101</v>
      </c>
      <c r="C71" s="532"/>
      <c r="D71" s="99" t="s">
        <v>68</v>
      </c>
      <c r="E71" s="65">
        <f>D30-E70</f>
        <v>16406.02</v>
      </c>
      <c r="F71" s="779"/>
      <c r="G71" s="102"/>
      <c r="H71" s="28">
        <v>15</v>
      </c>
      <c r="I71" s="23">
        <f t="shared" si="0"/>
        <v>27942.618000000002</v>
      </c>
      <c r="J71" s="24">
        <f t="shared" si="1"/>
        <v>15515.543888277003</v>
      </c>
      <c r="K71" s="102"/>
      <c r="L71" s="1088"/>
      <c r="M71" s="102"/>
      <c r="N71" s="1156"/>
      <c r="O71" s="1156"/>
      <c r="P71" s="35"/>
    </row>
    <row r="72" spans="2:16" ht="15" customHeight="1" thickBot="1" x14ac:dyDescent="0.3">
      <c r="B72" s="189" t="s">
        <v>108</v>
      </c>
      <c r="C72" s="190"/>
      <c r="D72" s="191" t="s">
        <v>102</v>
      </c>
      <c r="E72" s="192">
        <f>E71/D30</f>
        <v>1</v>
      </c>
      <c r="F72" s="102"/>
      <c r="G72" s="102"/>
      <c r="H72" s="1174" t="s">
        <v>105</v>
      </c>
      <c r="I72" s="1175"/>
      <c r="J72" s="52">
        <f>SUM(J57:J71)</f>
        <v>310676.85279307468</v>
      </c>
      <c r="K72" s="102"/>
      <c r="L72" s="102"/>
      <c r="M72" s="102"/>
      <c r="N72" s="1156"/>
      <c r="O72" s="1156"/>
      <c r="P72" s="1156"/>
    </row>
    <row r="73" spans="2:16" ht="15" customHeight="1" thickBot="1" x14ac:dyDescent="0.3">
      <c r="B73" s="193"/>
      <c r="C73" s="193"/>
      <c r="D73" s="193"/>
      <c r="E73" s="193"/>
      <c r="F73" s="102"/>
      <c r="G73" s="102"/>
      <c r="H73" s="1176"/>
      <c r="I73" s="1177"/>
      <c r="J73" s="1178"/>
      <c r="K73" s="102"/>
      <c r="L73" s="102"/>
      <c r="M73" s="102"/>
      <c r="N73" s="35"/>
      <c r="O73" s="35"/>
      <c r="P73" s="35"/>
    </row>
    <row r="74" spans="2:16" ht="15" customHeight="1" thickBot="1" x14ac:dyDescent="0.3">
      <c r="B74" s="517" t="s">
        <v>103</v>
      </c>
      <c r="C74" s="518"/>
      <c r="D74" s="518"/>
      <c r="E74" s="519"/>
      <c r="F74" s="102"/>
      <c r="G74" s="102"/>
      <c r="H74" s="196" t="s">
        <v>107</v>
      </c>
      <c r="I74" s="197"/>
      <c r="J74" s="198">
        <v>0.04</v>
      </c>
      <c r="K74" s="102"/>
      <c r="L74" s="102"/>
      <c r="M74" s="102"/>
      <c r="N74" s="35"/>
      <c r="O74" s="35"/>
      <c r="P74" s="35"/>
    </row>
    <row r="75" spans="2:16" ht="15" customHeight="1" x14ac:dyDescent="0.25">
      <c r="B75" s="194" t="s">
        <v>316</v>
      </c>
      <c r="C75" s="195" t="s">
        <v>43</v>
      </c>
      <c r="D75" s="195" t="s">
        <v>64</v>
      </c>
      <c r="E75" s="30">
        <f>SUM(I90:K90)</f>
        <v>0</v>
      </c>
      <c r="F75" s="102"/>
      <c r="G75" s="102"/>
      <c r="H75" s="102"/>
      <c r="I75" s="102"/>
      <c r="J75" s="102"/>
      <c r="K75" s="102"/>
      <c r="L75" s="102"/>
      <c r="M75" s="102"/>
      <c r="N75" s="35"/>
      <c r="O75" s="35"/>
      <c r="P75" s="35"/>
    </row>
    <row r="76" spans="2:16" ht="15" x14ac:dyDescent="0.25">
      <c r="B76" s="194" t="s">
        <v>65</v>
      </c>
      <c r="C76" s="195" t="str">
        <f>C75</f>
        <v>EE</v>
      </c>
      <c r="D76" s="195" t="s">
        <v>66</v>
      </c>
      <c r="E76" s="186">
        <f>D38</f>
        <v>167</v>
      </c>
      <c r="F76" s="102"/>
      <c r="G76" s="102"/>
      <c r="H76" s="102"/>
      <c r="I76" s="102"/>
      <c r="J76" s="102"/>
      <c r="K76" s="102"/>
      <c r="L76" s="102"/>
      <c r="M76" s="102"/>
      <c r="N76" s="35"/>
      <c r="O76" s="35"/>
      <c r="P76" s="35"/>
    </row>
    <row r="77" spans="2:16" ht="15" customHeight="1" x14ac:dyDescent="0.25">
      <c r="B77" s="194" t="s">
        <v>104</v>
      </c>
      <c r="C77" s="195" t="str">
        <f>C75</f>
        <v>EE</v>
      </c>
      <c r="D77" s="195" t="s">
        <v>64</v>
      </c>
      <c r="E77" s="30">
        <f>D34-E75</f>
        <v>34794</v>
      </c>
      <c r="F77" s="102"/>
      <c r="G77" s="102"/>
      <c r="H77" s="102"/>
      <c r="I77" s="102"/>
      <c r="J77" s="102"/>
      <c r="K77" s="102"/>
      <c r="L77" s="102"/>
      <c r="M77" s="102"/>
      <c r="N77" s="35"/>
      <c r="O77" s="35"/>
      <c r="P77" s="35"/>
    </row>
    <row r="78" spans="2:16" ht="30" customHeight="1" x14ac:dyDescent="0.25">
      <c r="B78" s="194" t="s">
        <v>106</v>
      </c>
      <c r="C78" s="195" t="s">
        <v>43</v>
      </c>
      <c r="D78" s="195" t="s">
        <v>68</v>
      </c>
      <c r="E78" s="179">
        <f>E75*E76/1000</f>
        <v>0</v>
      </c>
      <c r="F78" s="102"/>
      <c r="G78" s="102"/>
      <c r="H78" s="102"/>
      <c r="O78" s="35"/>
      <c r="P78" s="35"/>
    </row>
    <row r="79" spans="2:16" ht="30" customHeight="1" x14ac:dyDescent="0.25">
      <c r="B79" s="194" t="s">
        <v>101</v>
      </c>
      <c r="C79" s="195" t="str">
        <f>C78</f>
        <v>EE</v>
      </c>
      <c r="D79" s="195" t="s">
        <v>68</v>
      </c>
      <c r="E79" s="179">
        <f>D41-E78</f>
        <v>5810.598</v>
      </c>
      <c r="F79" s="102"/>
      <c r="G79" s="102"/>
      <c r="H79" s="102"/>
      <c r="I79" s="102"/>
      <c r="J79" s="102"/>
      <c r="K79" s="102"/>
      <c r="L79" s="102"/>
      <c r="M79" s="102"/>
      <c r="N79" s="1156"/>
      <c r="O79" s="1156"/>
      <c r="P79" s="1156"/>
    </row>
    <row r="80" spans="2:16" ht="30" customHeight="1" thickBot="1" x14ac:dyDescent="0.3">
      <c r="B80" s="199" t="s">
        <v>108</v>
      </c>
      <c r="C80" s="200" t="str">
        <f>C78</f>
        <v>EE</v>
      </c>
      <c r="D80" s="200" t="s">
        <v>102</v>
      </c>
      <c r="E80" s="192">
        <f>E79/D41</f>
        <v>1</v>
      </c>
      <c r="F80" s="102"/>
      <c r="G80" s="102"/>
      <c r="H80" s="39" t="s">
        <v>294</v>
      </c>
      <c r="N80" s="35"/>
      <c r="O80" s="35"/>
      <c r="P80" s="35"/>
    </row>
    <row r="81" spans="2:16" ht="15.75" thickBot="1" x14ac:dyDescent="0.3">
      <c r="B81" s="193"/>
      <c r="C81" s="193"/>
      <c r="D81" s="193"/>
      <c r="E81" s="193"/>
      <c r="F81" s="102"/>
      <c r="G81" s="102"/>
      <c r="H81" s="102" t="s">
        <v>333</v>
      </c>
      <c r="I81" s="102"/>
      <c r="J81" s="102"/>
      <c r="K81" s="102"/>
      <c r="L81" s="102"/>
      <c r="M81" s="102"/>
      <c r="N81" s="35"/>
      <c r="O81" s="35"/>
      <c r="P81" s="35"/>
    </row>
    <row r="82" spans="2:16" ht="15.75" thickBot="1" x14ac:dyDescent="0.3">
      <c r="B82" s="520" t="s">
        <v>71</v>
      </c>
      <c r="C82" s="521"/>
      <c r="D82" s="521"/>
      <c r="E82" s="522"/>
      <c r="F82" s="102"/>
      <c r="G82" s="102"/>
      <c r="H82" s="504" t="s">
        <v>332</v>
      </c>
      <c r="I82" s="501" t="s">
        <v>63</v>
      </c>
      <c r="J82" s="501" t="s">
        <v>113</v>
      </c>
      <c r="K82" s="501" t="s">
        <v>114</v>
      </c>
      <c r="L82" s="501" t="s">
        <v>115</v>
      </c>
      <c r="M82" s="1087" t="s">
        <v>382</v>
      </c>
      <c r="N82" s="745" t="s">
        <v>296</v>
      </c>
      <c r="O82" s="35"/>
      <c r="P82" s="35"/>
    </row>
    <row r="83" spans="2:16" ht="23.25" customHeight="1" x14ac:dyDescent="0.25">
      <c r="B83" s="513" t="s">
        <v>109</v>
      </c>
      <c r="C83" s="514"/>
      <c r="D83" s="201" t="s">
        <v>68</v>
      </c>
      <c r="E83" s="744">
        <v>0</v>
      </c>
      <c r="F83" s="102"/>
      <c r="G83" s="102"/>
      <c r="H83" s="487" t="s">
        <v>94</v>
      </c>
      <c r="I83" s="1066" t="s">
        <v>41</v>
      </c>
      <c r="J83" s="1063"/>
      <c r="K83" s="1063"/>
      <c r="L83" s="1063"/>
      <c r="M83" s="1064"/>
      <c r="N83" s="767">
        <f>SUM(J83:M83)</f>
        <v>0</v>
      </c>
      <c r="O83" s="35"/>
      <c r="P83" s="35"/>
    </row>
    <row r="84" spans="2:16" ht="15" customHeight="1" x14ac:dyDescent="0.25">
      <c r="B84" s="513" t="s">
        <v>110</v>
      </c>
      <c r="C84" s="514"/>
      <c r="D84" s="201" t="s">
        <v>68</v>
      </c>
      <c r="E84" s="179">
        <f>D43-E83</f>
        <v>5726</v>
      </c>
      <c r="F84" s="102"/>
      <c r="G84" s="102"/>
      <c r="H84" s="171" t="s">
        <v>98</v>
      </c>
      <c r="I84" s="526" t="s">
        <v>99</v>
      </c>
      <c r="J84" s="773"/>
      <c r="K84" s="773"/>
      <c r="L84" s="773"/>
      <c r="M84" s="774"/>
      <c r="N84" s="1065">
        <f>SUM(J84:M84)</f>
        <v>0</v>
      </c>
      <c r="O84" s="35"/>
      <c r="P84" s="35"/>
    </row>
    <row r="85" spans="2:16" ht="27" thickBot="1" x14ac:dyDescent="0.3">
      <c r="B85" s="515" t="s">
        <v>111</v>
      </c>
      <c r="C85" s="516"/>
      <c r="D85" s="202" t="s">
        <v>102</v>
      </c>
      <c r="E85" s="192">
        <f>E84/D43</f>
        <v>1</v>
      </c>
      <c r="F85" s="102"/>
      <c r="G85" s="102"/>
      <c r="H85" s="204" t="s">
        <v>100</v>
      </c>
      <c r="I85" s="533"/>
      <c r="J85" s="775"/>
      <c r="K85" s="775"/>
      <c r="L85" s="775"/>
      <c r="M85" s="716"/>
      <c r="N85" s="510"/>
      <c r="O85" s="35"/>
      <c r="P85" s="35"/>
    </row>
    <row r="86" spans="2:16" ht="15.75" thickBot="1" x14ac:dyDescent="0.3">
      <c r="B86" s="193"/>
      <c r="C86" s="193"/>
      <c r="D86" s="193"/>
      <c r="E86" s="193"/>
      <c r="F86" s="102"/>
      <c r="G86" s="102"/>
      <c r="H86" s="768" t="s">
        <v>397</v>
      </c>
      <c r="I86" s="769"/>
      <c r="J86" s="770">
        <f>SUM(J83:J85)</f>
        <v>0</v>
      </c>
      <c r="K86" s="770">
        <f>SUM(K83:K85)</f>
        <v>0</v>
      </c>
      <c r="L86" s="770">
        <f>SUM(L84:L85)</f>
        <v>0</v>
      </c>
      <c r="M86" s="770">
        <f>SUM(M84:M85)</f>
        <v>0</v>
      </c>
      <c r="N86" s="770">
        <f>SUM(N83:N85)</f>
        <v>0</v>
      </c>
      <c r="O86" s="35"/>
      <c r="P86" s="35"/>
    </row>
    <row r="87" spans="2:16" ht="25.5" customHeight="1" thickBot="1" x14ac:dyDescent="0.3">
      <c r="B87" s="523" t="s">
        <v>112</v>
      </c>
      <c r="C87" s="524"/>
      <c r="D87" s="524"/>
      <c r="E87" s="525"/>
      <c r="F87" s="102"/>
      <c r="G87" s="102"/>
      <c r="H87" s="506" t="s">
        <v>390</v>
      </c>
      <c r="I87" s="766" t="s">
        <v>62</v>
      </c>
      <c r="J87" s="776"/>
      <c r="K87" s="776"/>
      <c r="L87" s="776"/>
      <c r="M87" s="777"/>
      <c r="N87" s="511">
        <f>J87+K87+L87+M87</f>
        <v>0</v>
      </c>
      <c r="O87" s="35"/>
      <c r="P87" s="35"/>
    </row>
    <row r="88" spans="2:16" ht="15" customHeight="1" thickBot="1" x14ac:dyDescent="0.3">
      <c r="B88" s="64" t="s">
        <v>116</v>
      </c>
      <c r="C88" s="63"/>
      <c r="D88" s="21" t="s">
        <v>68</v>
      </c>
      <c r="E88" s="65">
        <f>E71+E79+E84</f>
        <v>27942.618000000002</v>
      </c>
      <c r="F88" s="102"/>
      <c r="G88" s="102"/>
      <c r="N88" s="35"/>
      <c r="O88" s="35"/>
      <c r="P88" s="35"/>
    </row>
    <row r="89" spans="2:16" ht="15" customHeight="1" x14ac:dyDescent="0.25">
      <c r="B89" s="59" t="s">
        <v>117</v>
      </c>
      <c r="C89" s="60"/>
      <c r="D89" s="21" t="s">
        <v>102</v>
      </c>
      <c r="E89" s="98">
        <f>E88/D46</f>
        <v>1</v>
      </c>
      <c r="F89" s="102"/>
      <c r="G89" s="102"/>
      <c r="H89" s="20" t="s">
        <v>119</v>
      </c>
      <c r="I89" s="205" t="s">
        <v>120</v>
      </c>
      <c r="J89" s="205" t="s">
        <v>300</v>
      </c>
      <c r="K89" s="206" t="s">
        <v>240</v>
      </c>
      <c r="L89" s="206" t="s">
        <v>296</v>
      </c>
      <c r="N89" s="35"/>
      <c r="O89" s="35"/>
      <c r="P89" s="35"/>
    </row>
    <row r="90" spans="2:16" ht="15" customHeight="1" thickBot="1" x14ac:dyDescent="0.3">
      <c r="B90" s="61" t="s">
        <v>118</v>
      </c>
      <c r="C90" s="62"/>
      <c r="D90" s="22" t="s">
        <v>68</v>
      </c>
      <c r="E90" s="31">
        <f>J72</f>
        <v>310676.85279307468</v>
      </c>
      <c r="F90" s="102"/>
      <c r="G90" s="102"/>
      <c r="H90" s="207" t="s">
        <v>43</v>
      </c>
      <c r="I90" s="124"/>
      <c r="J90" s="124"/>
      <c r="K90" s="125"/>
      <c r="L90" s="512">
        <f>I90+J90+K90</f>
        <v>0</v>
      </c>
      <c r="M90" s="35"/>
      <c r="N90" s="35"/>
      <c r="O90" s="534"/>
      <c r="P90" s="35"/>
    </row>
    <row r="91" spans="2:16" ht="15" customHeight="1" x14ac:dyDescent="0.25">
      <c r="B91" s="102"/>
      <c r="C91" s="102"/>
      <c r="D91" s="102"/>
      <c r="E91" s="102"/>
      <c r="F91" s="102"/>
      <c r="G91" s="102"/>
      <c r="H91" s="35"/>
      <c r="I91" s="35"/>
      <c r="J91" s="35"/>
      <c r="K91" s="35"/>
      <c r="L91" s="35"/>
      <c r="M91" s="35"/>
      <c r="N91" s="35"/>
      <c r="O91" s="35"/>
      <c r="P91" s="35"/>
    </row>
    <row r="92" spans="2:16" ht="15" x14ac:dyDescent="0.25">
      <c r="B92" s="102"/>
      <c r="C92" s="102"/>
      <c r="D92" s="102"/>
      <c r="E92" s="102"/>
      <c r="F92" s="102"/>
      <c r="G92" s="102"/>
      <c r="H92" s="102"/>
      <c r="I92" s="102"/>
      <c r="J92" s="102"/>
      <c r="K92" s="102"/>
      <c r="L92" s="102"/>
      <c r="M92" s="102"/>
      <c r="N92" s="35"/>
      <c r="O92" s="35"/>
      <c r="P92" s="35"/>
    </row>
    <row r="93" spans="2:16" ht="25.5" customHeight="1" x14ac:dyDescent="0.25">
      <c r="B93" s="102"/>
      <c r="C93" s="102"/>
      <c r="D93" s="102"/>
      <c r="E93" s="102"/>
      <c r="F93" s="102"/>
      <c r="G93" s="102"/>
      <c r="H93" s="102"/>
      <c r="I93" s="102"/>
      <c r="J93" s="102"/>
      <c r="K93" s="102"/>
      <c r="L93" s="102"/>
      <c r="M93" s="102"/>
      <c r="N93" s="35"/>
      <c r="O93" s="35"/>
      <c r="P93" s="35"/>
    </row>
    <row r="94" spans="2:16" ht="15" x14ac:dyDescent="0.25">
      <c r="B94" s="102"/>
      <c r="C94" s="102"/>
      <c r="D94" s="102"/>
      <c r="E94" s="102"/>
      <c r="F94" s="102"/>
      <c r="G94" s="102"/>
      <c r="H94" s="102"/>
      <c r="I94" s="102"/>
      <c r="J94" s="102"/>
      <c r="K94" s="102"/>
      <c r="L94" s="102"/>
      <c r="M94" s="102"/>
      <c r="N94" s="35"/>
      <c r="O94" s="35"/>
      <c r="P94" s="35"/>
    </row>
    <row r="95" spans="2:16" ht="15" x14ac:dyDescent="0.25">
      <c r="B95" s="102"/>
      <c r="C95" s="102"/>
      <c r="D95" s="102"/>
      <c r="E95" s="102"/>
      <c r="F95" s="102"/>
      <c r="G95" s="102"/>
      <c r="H95" s="102"/>
      <c r="I95" s="102"/>
      <c r="J95" s="102"/>
      <c r="K95" s="102"/>
      <c r="L95" s="102"/>
      <c r="M95" s="102"/>
      <c r="N95" s="35"/>
      <c r="O95" s="35"/>
      <c r="P95" s="35"/>
    </row>
    <row r="96" spans="2:16" ht="15" x14ac:dyDescent="0.25">
      <c r="B96" s="102"/>
      <c r="C96" s="102"/>
      <c r="D96" s="102"/>
      <c r="E96" s="102"/>
      <c r="F96" s="102"/>
      <c r="G96" s="102"/>
      <c r="H96" s="102"/>
      <c r="I96" s="102"/>
      <c r="J96" s="102"/>
      <c r="K96" s="102"/>
      <c r="L96" s="102"/>
      <c r="M96" s="102"/>
      <c r="N96" s="35"/>
      <c r="O96" s="35"/>
      <c r="P96" s="35"/>
    </row>
    <row r="97" spans="2:16" ht="15" x14ac:dyDescent="0.25">
      <c r="B97" s="102"/>
      <c r="C97" s="102"/>
      <c r="D97" s="102"/>
      <c r="E97" s="102"/>
      <c r="F97" s="102"/>
      <c r="G97" s="102"/>
      <c r="H97" s="102"/>
      <c r="I97" s="102"/>
      <c r="J97" s="102"/>
      <c r="K97" s="102"/>
      <c r="L97" s="102"/>
      <c r="M97" s="102"/>
      <c r="N97" s="1156"/>
      <c r="O97" s="1156"/>
      <c r="P97" s="35"/>
    </row>
    <row r="98" spans="2:16" ht="15" x14ac:dyDescent="0.25">
      <c r="B98" s="102"/>
      <c r="C98" s="102"/>
      <c r="D98" s="102"/>
      <c r="E98" s="102"/>
      <c r="F98" s="102"/>
      <c r="G98" s="102"/>
      <c r="H98" s="102"/>
      <c r="I98" s="102"/>
      <c r="J98" s="102"/>
      <c r="K98" s="102"/>
      <c r="L98" s="102"/>
      <c r="M98" s="102"/>
      <c r="N98" s="1156"/>
      <c r="O98" s="1156"/>
      <c r="P98" s="1156"/>
    </row>
    <row r="99" spans="2:16" ht="15" x14ac:dyDescent="0.25">
      <c r="B99" s="102"/>
      <c r="C99" s="102"/>
      <c r="D99" s="102"/>
      <c r="E99" s="102"/>
      <c r="F99" s="102"/>
      <c r="G99" s="102"/>
      <c r="H99" s="102"/>
      <c r="I99" s="102"/>
      <c r="J99" s="102"/>
      <c r="K99" s="102"/>
      <c r="L99" s="102"/>
      <c r="M99" s="102"/>
      <c r="N99" s="35"/>
      <c r="O99" s="35"/>
      <c r="P99" s="35"/>
    </row>
    <row r="100" spans="2:16" ht="15.75" x14ac:dyDescent="0.25">
      <c r="B100" s="39" t="s">
        <v>305</v>
      </c>
      <c r="C100" s="102"/>
      <c r="D100" s="542"/>
      <c r="E100" s="102"/>
      <c r="F100" s="102"/>
      <c r="G100" s="102"/>
      <c r="H100" s="102"/>
      <c r="I100" s="102"/>
      <c r="J100" s="102"/>
      <c r="K100" s="102"/>
      <c r="L100" s="102"/>
      <c r="M100" s="102"/>
      <c r="N100" s="35"/>
      <c r="O100" s="35"/>
      <c r="P100" s="35"/>
    </row>
    <row r="101" spans="2:16" ht="15.75" x14ac:dyDescent="0.25">
      <c r="B101" s="39"/>
      <c r="C101" s="102"/>
      <c r="D101" s="102"/>
      <c r="E101" s="102"/>
      <c r="F101" s="102"/>
      <c r="G101" s="102"/>
      <c r="H101" s="102"/>
      <c r="I101" s="102"/>
      <c r="J101" s="102"/>
      <c r="K101" s="102"/>
      <c r="L101" s="102"/>
      <c r="M101" s="102"/>
      <c r="N101" s="35"/>
      <c r="O101" s="35"/>
      <c r="P101" s="35"/>
    </row>
    <row r="102" spans="2:16" ht="16.5" thickBot="1" x14ac:dyDescent="0.3">
      <c r="B102" s="603" t="s">
        <v>295</v>
      </c>
      <c r="C102" s="102"/>
      <c r="D102" s="102"/>
      <c r="E102" s="102"/>
      <c r="F102" s="102"/>
      <c r="G102" s="102"/>
      <c r="H102" s="102"/>
      <c r="I102" s="102"/>
      <c r="J102" s="102"/>
      <c r="K102" s="102"/>
      <c r="L102" s="102"/>
      <c r="M102" s="102"/>
      <c r="N102" s="35"/>
      <c r="O102" s="35"/>
      <c r="P102" s="35"/>
    </row>
    <row r="103" spans="2:16" ht="38.25" x14ac:dyDescent="0.25">
      <c r="B103" s="604" t="s">
        <v>302</v>
      </c>
      <c r="C103" s="605" t="s">
        <v>437</v>
      </c>
      <c r="D103" s="605" t="s">
        <v>122</v>
      </c>
      <c r="E103" s="606" t="s">
        <v>297</v>
      </c>
      <c r="F103" s="606" t="s">
        <v>298</v>
      </c>
      <c r="G103" s="102"/>
      <c r="H103" s="102"/>
      <c r="I103" s="102"/>
      <c r="J103" s="102"/>
      <c r="K103" s="102"/>
      <c r="L103" s="102"/>
      <c r="M103" s="102"/>
      <c r="N103" s="35"/>
      <c r="O103" s="35"/>
      <c r="P103" s="35"/>
    </row>
    <row r="104" spans="2:16" ht="15" x14ac:dyDescent="0.25">
      <c r="B104" s="607" t="s">
        <v>295</v>
      </c>
      <c r="C104" s="608">
        <v>0</v>
      </c>
      <c r="D104" s="609">
        <v>3000</v>
      </c>
      <c r="E104" s="610">
        <f>C104*D104</f>
        <v>0</v>
      </c>
      <c r="F104" s="610">
        <f>E104*$D$12/$D$19</f>
        <v>0</v>
      </c>
      <c r="G104" s="102"/>
      <c r="H104" s="102"/>
      <c r="I104" s="102"/>
      <c r="J104" s="102"/>
      <c r="K104" s="102"/>
      <c r="L104" s="102"/>
      <c r="M104" s="102"/>
      <c r="N104" s="35"/>
      <c r="O104" s="35"/>
      <c r="P104" s="35"/>
    </row>
    <row r="105" spans="2:16" ht="15" x14ac:dyDescent="0.25">
      <c r="B105" s="607"/>
      <c r="C105" s="611"/>
      <c r="D105" s="609"/>
      <c r="E105" s="610"/>
      <c r="F105" s="610"/>
      <c r="G105" s="102"/>
      <c r="H105" s="102"/>
      <c r="I105" s="102"/>
      <c r="J105" s="102"/>
      <c r="K105" s="102"/>
      <c r="L105" s="102"/>
      <c r="M105" s="102"/>
      <c r="N105" s="35"/>
      <c r="O105" s="35"/>
      <c r="P105" s="35"/>
    </row>
    <row r="106" spans="2:16" ht="38.25" x14ac:dyDescent="0.25">
      <c r="B106" s="612" t="s">
        <v>299</v>
      </c>
      <c r="C106" s="148" t="s">
        <v>437</v>
      </c>
      <c r="D106" s="148" t="s">
        <v>122</v>
      </c>
      <c r="E106" s="613" t="s">
        <v>297</v>
      </c>
      <c r="F106" s="613" t="s">
        <v>298</v>
      </c>
      <c r="G106" s="102"/>
      <c r="H106" s="102"/>
      <c r="I106" s="102"/>
      <c r="J106" s="102"/>
      <c r="K106" s="102"/>
      <c r="L106" s="544"/>
      <c r="M106" s="545"/>
      <c r="N106" s="35"/>
      <c r="O106" s="35"/>
      <c r="P106" s="35"/>
    </row>
    <row r="107" spans="2:16" ht="15" x14ac:dyDescent="0.25">
      <c r="B107" s="607" t="s">
        <v>295</v>
      </c>
      <c r="C107" s="608">
        <v>0</v>
      </c>
      <c r="D107" s="609">
        <f>D104</f>
        <v>3000</v>
      </c>
      <c r="E107" s="610">
        <f>C107*D107</f>
        <v>0</v>
      </c>
      <c r="F107" s="610">
        <f>$L$83+$L$84</f>
        <v>0</v>
      </c>
      <c r="G107" s="102"/>
      <c r="H107" s="614"/>
      <c r="I107" s="535"/>
      <c r="J107" s="102"/>
      <c r="K107" s="102"/>
      <c r="L107" s="543"/>
      <c r="M107" s="102"/>
      <c r="N107" s="35"/>
      <c r="O107" s="35"/>
      <c r="P107" s="35"/>
    </row>
    <row r="108" spans="2:16" ht="15" x14ac:dyDescent="0.25">
      <c r="B108" s="607"/>
      <c r="C108" s="611"/>
      <c r="D108" s="609"/>
      <c r="E108" s="610"/>
      <c r="F108" s="610"/>
      <c r="G108" s="102"/>
      <c r="H108" s="102"/>
      <c r="I108" s="102"/>
      <c r="J108" s="102"/>
      <c r="K108" s="102"/>
      <c r="L108" s="102"/>
      <c r="M108" s="102"/>
      <c r="N108" s="35"/>
      <c r="O108" s="35"/>
      <c r="P108" s="35"/>
    </row>
    <row r="109" spans="2:16" ht="51" x14ac:dyDescent="0.25">
      <c r="B109" s="612" t="s">
        <v>96</v>
      </c>
      <c r="C109" s="1157"/>
      <c r="D109" s="1158"/>
      <c r="E109" s="613" t="s">
        <v>319</v>
      </c>
      <c r="F109" s="613" t="s">
        <v>320</v>
      </c>
      <c r="G109" s="102"/>
      <c r="H109" s="102"/>
      <c r="I109" s="102"/>
      <c r="J109" s="102"/>
      <c r="K109" s="102"/>
      <c r="L109" s="102"/>
      <c r="M109" s="102"/>
      <c r="N109" s="35"/>
      <c r="O109" s="35"/>
      <c r="P109" s="35"/>
    </row>
    <row r="110" spans="2:16" ht="15" x14ac:dyDescent="0.25">
      <c r="B110" s="607" t="s">
        <v>295</v>
      </c>
      <c r="C110" s="1159"/>
      <c r="D110" s="1160"/>
      <c r="E110" s="610">
        <f>E104-E107</f>
        <v>0</v>
      </c>
      <c r="F110" s="610">
        <f>F104-F107</f>
        <v>0</v>
      </c>
      <c r="G110" s="102"/>
      <c r="H110" s="102"/>
      <c r="I110" s="102"/>
      <c r="J110" s="102"/>
      <c r="K110" s="102"/>
      <c r="L110" s="102"/>
      <c r="M110" s="102"/>
      <c r="N110" s="35"/>
      <c r="O110" s="35"/>
      <c r="P110" s="35"/>
    </row>
    <row r="111" spans="2:16" ht="15.75" thickBot="1" x14ac:dyDescent="0.3">
      <c r="B111" s="615"/>
      <c r="C111" s="1161"/>
      <c r="D111" s="1162"/>
      <c r="E111" s="616"/>
      <c r="F111" s="616"/>
      <c r="G111" s="102"/>
      <c r="H111" s="102"/>
      <c r="I111" s="102"/>
      <c r="J111" s="102"/>
      <c r="K111" s="102"/>
      <c r="L111" s="102"/>
      <c r="M111" s="102"/>
      <c r="N111" s="35"/>
      <c r="O111" s="35"/>
      <c r="P111" s="35"/>
    </row>
    <row r="112" spans="2:16" ht="15" x14ac:dyDescent="0.25">
      <c r="B112" s="617"/>
      <c r="C112" s="617"/>
      <c r="D112" s="102"/>
      <c r="E112" s="102"/>
      <c r="F112" s="102"/>
      <c r="G112" s="102"/>
      <c r="H112" s="102"/>
      <c r="I112" s="102"/>
      <c r="J112" s="102"/>
      <c r="K112" s="102"/>
      <c r="L112" s="102"/>
      <c r="M112" s="102"/>
      <c r="N112" s="35"/>
      <c r="O112" s="35"/>
      <c r="P112" s="35"/>
    </row>
    <row r="113" spans="2:16" ht="15.75" x14ac:dyDescent="0.25">
      <c r="B113" s="603"/>
      <c r="C113" s="102"/>
      <c r="D113" s="102"/>
      <c r="E113" s="102"/>
      <c r="F113" s="102"/>
      <c r="G113" s="102"/>
      <c r="H113" s="102"/>
      <c r="I113" s="102"/>
      <c r="J113" s="102"/>
      <c r="K113" s="102"/>
      <c r="L113" s="102"/>
      <c r="M113" s="102"/>
      <c r="N113" s="35"/>
      <c r="O113" s="35"/>
      <c r="P113" s="35"/>
    </row>
    <row r="114" spans="2:16" ht="15.75" x14ac:dyDescent="0.25">
      <c r="B114" s="603"/>
      <c r="C114" s="102"/>
      <c r="D114" s="102"/>
      <c r="E114" s="102"/>
      <c r="F114" s="102"/>
      <c r="G114" s="102"/>
      <c r="H114" s="102"/>
      <c r="I114" s="102"/>
      <c r="J114" s="102"/>
      <c r="K114" s="102"/>
      <c r="L114" s="102"/>
      <c r="M114" s="102"/>
      <c r="N114" s="35"/>
      <c r="O114" s="35"/>
      <c r="P114" s="35"/>
    </row>
    <row r="115" spans="2:16" ht="21.75" customHeight="1" thickBot="1" x14ac:dyDescent="0.25">
      <c r="B115" s="603" t="s">
        <v>120</v>
      </c>
      <c r="C115" s="102"/>
      <c r="D115" s="102"/>
      <c r="E115" s="102"/>
      <c r="F115" s="102"/>
      <c r="G115" s="102"/>
      <c r="H115" s="102"/>
      <c r="I115" s="102"/>
      <c r="J115" s="102"/>
      <c r="K115" s="102"/>
      <c r="L115" s="102"/>
      <c r="M115" s="102"/>
      <c r="N115" s="102"/>
      <c r="O115" s="102"/>
      <c r="P115" s="102"/>
    </row>
    <row r="116" spans="2:16" ht="38.25" x14ac:dyDescent="0.2">
      <c r="B116" s="604" t="s">
        <v>302</v>
      </c>
      <c r="C116" s="605" t="s">
        <v>121</v>
      </c>
      <c r="D116" s="605" t="s">
        <v>122</v>
      </c>
      <c r="E116" s="606" t="s">
        <v>301</v>
      </c>
      <c r="F116" s="102"/>
      <c r="G116" s="102"/>
      <c r="H116" s="102"/>
      <c r="I116" s="102"/>
      <c r="J116" s="102"/>
      <c r="K116" s="102"/>
      <c r="L116" s="102"/>
      <c r="M116" s="102"/>
      <c r="N116" s="102"/>
      <c r="O116" s="102"/>
      <c r="P116" s="102"/>
    </row>
    <row r="117" spans="2:16" x14ac:dyDescent="0.2">
      <c r="B117" s="607" t="s">
        <v>123</v>
      </c>
      <c r="C117" s="608">
        <v>7</v>
      </c>
      <c r="D117" s="609">
        <v>2500</v>
      </c>
      <c r="E117" s="610">
        <f>C117*D117</f>
        <v>17500</v>
      </c>
      <c r="F117" s="102"/>
      <c r="G117" s="102"/>
      <c r="H117" s="102"/>
      <c r="I117" s="102"/>
      <c r="J117" s="102"/>
      <c r="K117" s="102"/>
      <c r="L117" s="102"/>
      <c r="M117" s="102"/>
      <c r="N117" s="102"/>
      <c r="O117" s="102"/>
      <c r="P117" s="102"/>
    </row>
    <row r="118" spans="2:16" x14ac:dyDescent="0.2">
      <c r="B118" s="607"/>
      <c r="C118" s="611"/>
      <c r="D118" s="609"/>
      <c r="E118" s="610"/>
      <c r="F118" s="102"/>
      <c r="G118" s="102"/>
      <c r="H118" s="102"/>
      <c r="I118" s="102"/>
      <c r="J118" s="102"/>
      <c r="K118" s="102"/>
      <c r="L118" s="102"/>
      <c r="M118" s="102"/>
      <c r="N118" s="102"/>
      <c r="O118" s="102"/>
      <c r="P118" s="102"/>
    </row>
    <row r="119" spans="2:16" ht="38.25" x14ac:dyDescent="0.2">
      <c r="B119" s="612" t="s">
        <v>124</v>
      </c>
      <c r="C119" s="148" t="s">
        <v>121</v>
      </c>
      <c r="D119" s="148" t="s">
        <v>122</v>
      </c>
      <c r="E119" s="613" t="s">
        <v>301</v>
      </c>
      <c r="F119" s="102"/>
      <c r="G119" s="102"/>
      <c r="H119" s="102"/>
      <c r="I119" s="102"/>
      <c r="J119" s="102"/>
      <c r="K119" s="102"/>
      <c r="L119" s="102"/>
      <c r="M119" s="102"/>
      <c r="N119" s="102"/>
      <c r="O119" s="102"/>
      <c r="P119" s="102"/>
    </row>
    <row r="120" spans="2:16" x14ac:dyDescent="0.2">
      <c r="B120" s="607" t="s">
        <v>123</v>
      </c>
      <c r="C120" s="608"/>
      <c r="D120" s="609">
        <f>D117</f>
        <v>2500</v>
      </c>
      <c r="E120" s="610">
        <f>C120*D120</f>
        <v>0</v>
      </c>
      <c r="F120" s="102"/>
      <c r="G120" s="102"/>
      <c r="H120" s="552"/>
      <c r="I120" s="102"/>
      <c r="J120" s="102"/>
      <c r="K120" s="102"/>
      <c r="L120" s="102"/>
      <c r="M120" s="102"/>
      <c r="N120" s="102"/>
      <c r="O120" s="102"/>
      <c r="P120" s="102"/>
    </row>
    <row r="121" spans="2:16" x14ac:dyDescent="0.2">
      <c r="B121" s="607"/>
      <c r="C121" s="611"/>
      <c r="D121" s="609"/>
      <c r="E121" s="610"/>
      <c r="F121" s="102"/>
      <c r="G121" s="102"/>
      <c r="H121" s="102"/>
      <c r="I121" s="102"/>
      <c r="J121" s="102"/>
      <c r="K121" s="102"/>
      <c r="L121" s="102"/>
      <c r="M121" s="102"/>
      <c r="N121" s="102"/>
      <c r="O121" s="102"/>
      <c r="P121" s="102"/>
    </row>
    <row r="122" spans="2:16" ht="25.5" x14ac:dyDescent="0.2">
      <c r="B122" s="612" t="s">
        <v>96</v>
      </c>
      <c r="C122" s="1157"/>
      <c r="D122" s="1158"/>
      <c r="E122" s="168" t="s">
        <v>125</v>
      </c>
      <c r="F122" s="102"/>
      <c r="G122" s="102"/>
      <c r="H122" s="102"/>
      <c r="I122" s="102"/>
      <c r="J122" s="102"/>
      <c r="K122" s="102"/>
      <c r="L122" s="102"/>
      <c r="M122" s="102"/>
      <c r="N122" s="102"/>
      <c r="O122" s="102"/>
      <c r="P122" s="102"/>
    </row>
    <row r="123" spans="2:16" x14ac:dyDescent="0.2">
      <c r="B123" s="607" t="s">
        <v>123</v>
      </c>
      <c r="C123" s="1159"/>
      <c r="D123" s="1160"/>
      <c r="E123" s="610">
        <f>E117-E120</f>
        <v>17500</v>
      </c>
      <c r="F123" s="102"/>
      <c r="G123" s="102"/>
      <c r="H123" s="102"/>
      <c r="I123" s="102"/>
      <c r="J123" s="102"/>
      <c r="K123" s="102"/>
      <c r="L123" s="102"/>
      <c r="M123" s="102"/>
      <c r="N123" s="102"/>
      <c r="O123" s="102"/>
      <c r="P123" s="102"/>
    </row>
    <row r="124" spans="2:16" ht="13.5" thickBot="1" x14ac:dyDescent="0.25">
      <c r="B124" s="615"/>
      <c r="C124" s="1161"/>
      <c r="D124" s="1162"/>
      <c r="E124" s="616"/>
      <c r="F124" s="102"/>
      <c r="G124" s="102"/>
      <c r="H124" s="102"/>
      <c r="I124" s="102"/>
      <c r="J124" s="102"/>
      <c r="K124" s="102"/>
      <c r="L124" s="102"/>
      <c r="M124" s="102"/>
      <c r="N124" s="102"/>
      <c r="O124" s="102"/>
      <c r="P124" s="102"/>
    </row>
    <row r="125" spans="2:16" x14ac:dyDescent="0.2">
      <c r="B125" s="617"/>
      <c r="C125" s="617"/>
      <c r="D125" s="617"/>
      <c r="E125" s="102"/>
      <c r="F125" s="102"/>
      <c r="G125" s="102"/>
      <c r="H125" s="102"/>
      <c r="I125" s="102"/>
      <c r="J125" s="102"/>
      <c r="K125" s="102"/>
      <c r="L125" s="102"/>
      <c r="M125" s="102"/>
      <c r="N125" s="102"/>
      <c r="O125" s="102"/>
      <c r="P125" s="102"/>
    </row>
    <row r="126" spans="2:16" x14ac:dyDescent="0.2">
      <c r="B126" s="102"/>
      <c r="C126" s="102"/>
      <c r="D126" s="102"/>
      <c r="E126" s="102"/>
      <c r="F126" s="102"/>
      <c r="G126" s="102"/>
      <c r="H126" s="102"/>
    </row>
    <row r="127" spans="2:16" x14ac:dyDescent="0.2">
      <c r="B127" s="102"/>
      <c r="C127" s="102"/>
      <c r="D127" s="102"/>
      <c r="E127" s="102"/>
      <c r="F127" s="102"/>
      <c r="G127" s="102"/>
      <c r="H127" s="102"/>
    </row>
    <row r="128" spans="2:16" ht="16.5" thickBot="1" x14ac:dyDescent="0.25">
      <c r="B128" s="603"/>
      <c r="C128" s="102"/>
      <c r="D128" s="102"/>
      <c r="E128" s="102"/>
      <c r="F128" s="102"/>
      <c r="G128" s="102"/>
      <c r="H128" s="102"/>
    </row>
    <row r="129" spans="2:8" x14ac:dyDescent="0.2">
      <c r="B129" s="618"/>
      <c r="C129" s="619"/>
      <c r="D129" s="620"/>
      <c r="E129" s="606"/>
      <c r="F129" s="102"/>
      <c r="G129" s="102"/>
      <c r="H129" s="102"/>
    </row>
    <row r="130" spans="2:8" x14ac:dyDescent="0.2">
      <c r="B130" s="621"/>
      <c r="C130" s="622"/>
      <c r="D130" s="623"/>
      <c r="E130" s="624"/>
      <c r="F130" s="102"/>
      <c r="G130" s="102"/>
      <c r="H130" s="102"/>
    </row>
    <row r="131" spans="2:8" x14ac:dyDescent="0.2">
      <c r="B131" s="621"/>
      <c r="C131" s="622"/>
      <c r="D131" s="623"/>
      <c r="E131" s="610"/>
      <c r="F131" s="102"/>
      <c r="G131" s="102"/>
      <c r="H131" s="102"/>
    </row>
    <row r="132" spans="2:8" x14ac:dyDescent="0.2">
      <c r="B132" s="568"/>
      <c r="C132" s="569"/>
      <c r="D132" s="570"/>
      <c r="E132" s="613"/>
      <c r="F132" s="102"/>
      <c r="G132" s="102"/>
      <c r="H132" s="102"/>
    </row>
    <row r="133" spans="2:8" x14ac:dyDescent="0.2">
      <c r="B133" s="621"/>
      <c r="C133" s="622"/>
      <c r="D133" s="623"/>
      <c r="E133" s="624"/>
      <c r="F133" s="102"/>
      <c r="G133" s="102"/>
      <c r="H133" s="102"/>
    </row>
    <row r="134" spans="2:8" x14ac:dyDescent="0.2">
      <c r="B134" s="621"/>
      <c r="C134" s="622"/>
      <c r="D134" s="623"/>
      <c r="E134" s="610"/>
      <c r="F134" s="102"/>
      <c r="G134" s="102"/>
      <c r="H134" s="102"/>
    </row>
    <row r="135" spans="2:8" x14ac:dyDescent="0.2">
      <c r="B135" s="709"/>
      <c r="C135" s="710"/>
      <c r="D135" s="711"/>
      <c r="E135" s="168"/>
      <c r="F135" s="102"/>
      <c r="G135" s="102"/>
      <c r="H135" s="102"/>
    </row>
    <row r="136" spans="2:8" x14ac:dyDescent="0.2">
      <c r="B136" s="621"/>
      <c r="C136" s="622"/>
      <c r="D136" s="623"/>
      <c r="E136" s="610"/>
      <c r="F136" s="102"/>
      <c r="G136" s="102"/>
      <c r="H136" s="102"/>
    </row>
    <row r="137" spans="2:8" ht="13.5" thickBot="1" x14ac:dyDescent="0.25">
      <c r="B137" s="741"/>
      <c r="C137" s="743"/>
      <c r="D137" s="742"/>
      <c r="E137" s="616"/>
      <c r="F137" s="102"/>
      <c r="G137" s="102"/>
      <c r="H137" s="102"/>
    </row>
    <row r="138" spans="2:8" x14ac:dyDescent="0.2">
      <c r="B138" s="40"/>
      <c r="C138" s="40"/>
      <c r="D138" s="40"/>
    </row>
    <row r="141" spans="2:8" s="736" customFormat="1" ht="16.5" thickBot="1" x14ac:dyDescent="0.25">
      <c r="B141" s="734"/>
      <c r="C141" s="735"/>
      <c r="D141" s="735"/>
      <c r="E141" s="735"/>
    </row>
    <row r="142" spans="2:8" s="736" customFormat="1" x14ac:dyDescent="0.2">
      <c r="B142" s="618"/>
      <c r="C142" s="619"/>
      <c r="D142" s="620"/>
      <c r="E142" s="737"/>
      <c r="F142" s="606"/>
    </row>
    <row r="143" spans="2:8" s="736" customFormat="1" x14ac:dyDescent="0.2">
      <c r="B143" s="621"/>
      <c r="C143" s="622"/>
      <c r="D143" s="623"/>
      <c r="E143" s="624"/>
      <c r="F143" s="610"/>
    </row>
    <row r="144" spans="2:8" s="736" customFormat="1" x14ac:dyDescent="0.2">
      <c r="B144" s="621"/>
      <c r="C144" s="622"/>
      <c r="D144" s="623"/>
      <c r="E144" s="738"/>
      <c r="F144" s="610"/>
    </row>
    <row r="145" spans="2:6" s="736" customFormat="1" x14ac:dyDescent="0.2">
      <c r="B145" s="709"/>
      <c r="C145" s="710"/>
      <c r="D145" s="711"/>
      <c r="E145" s="739"/>
      <c r="F145" s="613"/>
    </row>
    <row r="146" spans="2:6" s="736" customFormat="1" x14ac:dyDescent="0.2">
      <c r="B146" s="621"/>
      <c r="C146" s="622"/>
      <c r="D146" s="623"/>
      <c r="E146" s="624"/>
      <c r="F146" s="610"/>
    </row>
    <row r="147" spans="2:6" s="736" customFormat="1" x14ac:dyDescent="0.2">
      <c r="B147" s="621"/>
      <c r="C147" s="622"/>
      <c r="D147" s="623"/>
      <c r="E147" s="738"/>
      <c r="F147" s="610"/>
    </row>
    <row r="148" spans="2:6" s="736" customFormat="1" x14ac:dyDescent="0.2">
      <c r="B148" s="709"/>
      <c r="C148" s="710"/>
      <c r="D148" s="711"/>
      <c r="E148" s="739"/>
      <c r="F148" s="613"/>
    </row>
    <row r="149" spans="2:6" s="736" customFormat="1" x14ac:dyDescent="0.2">
      <c r="B149" s="621"/>
      <c r="C149" s="622"/>
      <c r="D149" s="623"/>
      <c r="E149" s="738"/>
      <c r="F149" s="610"/>
    </row>
    <row r="150" spans="2:6" s="736" customFormat="1" ht="13.5" thickBot="1" x14ac:dyDescent="0.25">
      <c r="B150" s="741"/>
      <c r="C150" s="743"/>
      <c r="D150" s="742"/>
      <c r="E150" s="740"/>
      <c r="F150" s="616"/>
    </row>
  </sheetData>
  <mergeCells count="16">
    <mergeCell ref="N55:P55"/>
    <mergeCell ref="N71:O71"/>
    <mergeCell ref="H72:I72"/>
    <mergeCell ref="N72:P72"/>
    <mergeCell ref="H73:J73"/>
    <mergeCell ref="B6:C6"/>
    <mergeCell ref="B7:C7"/>
    <mergeCell ref="B8:C8"/>
    <mergeCell ref="H12:J12"/>
    <mergeCell ref="B55:E55"/>
    <mergeCell ref="H55:J55"/>
    <mergeCell ref="N97:O97"/>
    <mergeCell ref="N98:P98"/>
    <mergeCell ref="C109:D111"/>
    <mergeCell ref="C122:D124"/>
    <mergeCell ref="N79:P79"/>
  </mergeCells>
  <pageMargins left="0.70866141732283472" right="0.70866141732283472" top="0.74803149606299213" bottom="0.74803149606299213" header="0.31496062992125984" footer="0.31496062992125984"/>
  <pageSetup paperSize="9" scale="29" orientation="portrait" r:id="rId1"/>
  <headerFooter>
    <oddHeader>&amp;LProgram izvajanja koncesije "Celovita energetska prenova 7 objektov UKC LJ"&amp;R&amp;A</oddHeader>
    <oddFooter>&amp;RStran &amp;P / &amp;N</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8A87654-7439-4807-9E46-7FC9A2A57A07}">
          <x14:formula1>
            <xm:f>'Osnovni podatki'!$B$6:$B$9</xm:f>
          </x14:formula1>
          <xm:sqref>D6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E57CC8F23E8DC408C67EF1B3C63D8D9" ma:contentTypeVersion="7" ma:contentTypeDescription="Create a new document." ma:contentTypeScope="" ma:versionID="6cdd8eb3701fbd5e5799c3012eeeb222">
  <xsd:schema xmlns:xsd="http://www.w3.org/2001/XMLSchema" xmlns:xs="http://www.w3.org/2001/XMLSchema" xmlns:p="http://schemas.microsoft.com/office/2006/metadata/properties" xmlns:ns2="49ce96a8-f094-4fbe-9325-5b1ebcf0463b" targetNamespace="http://schemas.microsoft.com/office/2006/metadata/properties" ma:root="true" ma:fieldsID="c477bc0e40b46487edcdcc3fc0837bd4" ns2:_="">
    <xsd:import namespace="49ce96a8-f094-4fbe-9325-5b1ebcf0463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ce96a8-f094-4fbe-9325-5b1ebcf046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DD668C-75CC-47D5-A408-A90D922B35B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40D3E3C-CE85-4DF6-A81A-98A0132DCE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ce96a8-f094-4fbe-9325-5b1ebcf046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49D4A14-B6AC-400D-A8E1-E80C3102BFA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22</vt:i4>
      </vt:variant>
    </vt:vector>
  </HeadingPairs>
  <TitlesOfParts>
    <vt:vector size="22" baseType="lpstr">
      <vt:lpstr>PROGRAM IZVAJANJA</vt:lpstr>
      <vt:lpstr>Navodila</vt:lpstr>
      <vt:lpstr>Osnovni podatki</vt:lpstr>
      <vt:lpstr>Referenčne količine</vt:lpstr>
      <vt:lpstr>prilagoditve</vt:lpstr>
      <vt:lpstr>Standard udobja</vt:lpstr>
      <vt:lpstr>UKREPI - splošno</vt:lpstr>
      <vt:lpstr>UKREPI (PO OBJEKTIH)</vt:lpstr>
      <vt:lpstr>OB001</vt:lpstr>
      <vt:lpstr>OB002</vt:lpstr>
      <vt:lpstr>OB003</vt:lpstr>
      <vt:lpstr>OB004</vt:lpstr>
      <vt:lpstr>OB006</vt:lpstr>
      <vt:lpstr>OB007</vt:lpstr>
      <vt:lpstr>Skupni zajamčeni prihranki</vt:lpstr>
      <vt:lpstr>Neodvisne spremenljivke</vt:lpstr>
      <vt:lpstr>ObračunOB001</vt:lpstr>
      <vt:lpstr>ObračunOB002</vt:lpstr>
      <vt:lpstr>ObračunOB003</vt:lpstr>
      <vt:lpstr>ObračunOB004</vt:lpstr>
      <vt:lpstr>Presežni prihranki</vt:lpstr>
      <vt:lpstr>Presežni prihranki delitev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Marko</dc:creator>
  <cp:keywords/>
  <dc:description/>
  <cp:lastModifiedBy>Uporabnik sistema Windows</cp:lastModifiedBy>
  <cp:revision/>
  <cp:lastPrinted>2022-04-15T14:12:48Z</cp:lastPrinted>
  <dcterms:created xsi:type="dcterms:W3CDTF">2015-06-05T18:19:34Z</dcterms:created>
  <dcterms:modified xsi:type="dcterms:W3CDTF">2022-06-10T12:29:10Z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0x0101009E57CC8F23E8DC408C67EF1B3C63D8D9</vt:lpwstr>
  </property>
</Properties>
</file>