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codeName="Ta_delovni_zvezek" defaultThemeVersion="124226"/>
  <mc:AlternateContent xmlns:mc="http://schemas.openxmlformats.org/markup-compatibility/2006">
    <mc:Choice Requires="x15">
      <x15ac:absPath xmlns:x15ac="http://schemas.microsoft.com/office/spreadsheetml/2010/11/ac" url="Z:\GE projekt - projekti\329-Konkurenčni dialog Občina Brezovica\KONKURENČNI DIALOG\Delovno\"/>
    </mc:Choice>
  </mc:AlternateContent>
  <xr:revisionPtr revIDLastSave="0" documentId="13_ncr:1_{CDB17F55-00B8-4335-BFAB-0DD7AF134D2B}" xr6:coauthVersionLast="47" xr6:coauthVersionMax="47" xr10:uidLastSave="{00000000-0000-0000-0000-000000000000}"/>
  <bookViews>
    <workbookView xWindow="-120" yWindow="-120" windowWidth="29040" windowHeight="17640" tabRatio="679" firstSheet="4" activeTab="20" xr2:uid="{8092FA1C-7E72-4BCE-8A5F-7BF6E67895D3}"/>
  </bookViews>
  <sheets>
    <sheet name="Program" sheetId="1" r:id="rId1"/>
    <sheet name="Podatki o objektih" sheetId="70" r:id="rId2"/>
    <sheet name="Referenčne količine" sheetId="79" r:id="rId3"/>
    <sheet name="Cene energentov" sheetId="76" r:id="rId4"/>
    <sheet name="STANDARD UDOBJA" sheetId="91" r:id="rId5"/>
    <sheet name="UKREPI - splošno" sheetId="4" r:id="rId6"/>
    <sheet name="EN. UPRAVLJANJE" sheetId="73" r:id="rId7"/>
    <sheet name="UKREPI (PO OBJEKTIH)" sheetId="75" r:id="rId8"/>
    <sheet name="OB001" sheetId="96" r:id="rId9"/>
    <sheet name="OB003" sheetId="93" r:id="rId10"/>
    <sheet name="OB004" sheetId="95" r:id="rId11"/>
    <sheet name="OB005" sheetId="107" r:id="rId12"/>
    <sheet name="OB007" sheetId="100" state="hidden" r:id="rId13"/>
    <sheet name="OB008" sheetId="101" state="hidden" r:id="rId14"/>
    <sheet name="OB009" sheetId="103" state="hidden" r:id="rId15"/>
    <sheet name="OB010" sheetId="102" state="hidden" r:id="rId16"/>
    <sheet name="OB011" sheetId="105" state="hidden" r:id="rId17"/>
    <sheet name="OB012" sheetId="104" state="hidden" r:id="rId18"/>
    <sheet name="OB013" sheetId="106" state="hidden" r:id="rId19"/>
    <sheet name="SKUPAJ" sheetId="8" r:id="rId20"/>
    <sheet name="VZOREC OBRAČUNA" sheetId="94" r:id="rId21"/>
  </sheets>
  <definedNames>
    <definedName name="__IntlFixup" hidden="1">TRUE</definedName>
    <definedName name="_xlnm._FilterDatabase" localSheetId="8" hidden="1">'OB001'!#REF!</definedName>
    <definedName name="_xlnm._FilterDatabase" localSheetId="9" hidden="1">'OB003'!#REF!</definedName>
    <definedName name="_xlnm._FilterDatabase" localSheetId="10" hidden="1">'OB004'!#REF!</definedName>
    <definedName name="_xlnm._FilterDatabase" localSheetId="11" hidden="1">'OB005'!#REF!</definedName>
    <definedName name="_xlnm._FilterDatabase" localSheetId="12" hidden="1">'OB007'!#REF!</definedName>
    <definedName name="_xlnm._FilterDatabase" localSheetId="13" hidden="1">'OB008'!#REF!</definedName>
    <definedName name="_xlnm._FilterDatabase" localSheetId="14" hidden="1">'OB009'!#REF!</definedName>
    <definedName name="_xlnm._FilterDatabase" localSheetId="15" hidden="1">'OB010'!#REF!</definedName>
    <definedName name="_xlnm._FilterDatabase" localSheetId="16" hidden="1">'OB011'!#REF!</definedName>
    <definedName name="_xlnm._FilterDatabase" localSheetId="17" hidden="1">'OB012'!#REF!</definedName>
    <definedName name="_xlnm._FilterDatabase" localSheetId="18" hidden="1">'OB013'!#REF!</definedName>
    <definedName name="anscount" hidden="1">1</definedName>
    <definedName name="g" localSheetId="8" hidden="1">MATCH(0.01,End_Bal,-1)+1</definedName>
    <definedName name="g" localSheetId="10" hidden="1">MATCH(0.01,End_Bal,-1)+1</definedName>
    <definedName name="g" localSheetId="11" hidden="1">MATCH(0.01,End_Bal,-1)+1</definedName>
    <definedName name="g" localSheetId="12" hidden="1">MATCH(0.01,End_Bal,-1)+1</definedName>
    <definedName name="g" localSheetId="13" hidden="1">MATCH(0.01,End_Bal,-1)+1</definedName>
    <definedName name="g" localSheetId="14" hidden="1">MATCH(0.01,End_Bal,-1)+1</definedName>
    <definedName name="g" localSheetId="15" hidden="1">MATCH(0.01,End_Bal,-1)+1</definedName>
    <definedName name="g" localSheetId="16" hidden="1">MATCH(0.01,End_Bal,-1)+1</definedName>
    <definedName name="g" localSheetId="17" hidden="1">MATCH(0.01,End_Bal,-1)+1</definedName>
    <definedName name="g" localSheetId="18" hidden="1">MATCH(0.01,End_Bal,-1)+1</definedName>
    <definedName name="g" hidden="1">MATCH(0.01,End_Bal,-1)+1</definedName>
    <definedName name="Number_of_Payments" localSheetId="3" hidden="1">MATCH(0.01,End_Bal,-1)+1</definedName>
    <definedName name="Number_of_Payments" localSheetId="6" hidden="1">MATCH(0.01,End_Bal,-1)+1</definedName>
    <definedName name="Number_of_Payments" localSheetId="8" hidden="1">MATCH(0.01,End_Bal,-1)+1</definedName>
    <definedName name="Number_of_Payments" localSheetId="9" hidden="1">MATCH(0.01,End_Bal,-1)+1</definedName>
    <definedName name="Number_of_Payments" localSheetId="10" hidden="1">MATCH(0.01,End_Bal,-1)+1</definedName>
    <definedName name="Number_of_Payments" localSheetId="11" hidden="1">MATCH(0.01,End_Bal,-1)+1</definedName>
    <definedName name="Number_of_Payments" localSheetId="12" hidden="1">MATCH(0.01,End_Bal,-1)+1</definedName>
    <definedName name="Number_of_Payments" localSheetId="13" hidden="1">MATCH(0.01,End_Bal,-1)+1</definedName>
    <definedName name="Number_of_Payments" localSheetId="14" hidden="1">MATCH(0.01,End_Bal,-1)+1</definedName>
    <definedName name="Number_of_Payments" localSheetId="15" hidden="1">MATCH(0.01,End_Bal,-1)+1</definedName>
    <definedName name="Number_of_Payments" localSheetId="16" hidden="1">MATCH(0.01,End_Bal,-1)+1</definedName>
    <definedName name="Number_of_Payments" localSheetId="17" hidden="1">MATCH(0.01,End_Bal,-1)+1</definedName>
    <definedName name="Number_of_Payments" localSheetId="18" hidden="1">MATCH(0.01,End_Bal,-1)+1</definedName>
    <definedName name="Number_of_Payments" localSheetId="2" hidden="1">MATCH(0.01,End_Bal,-1)+1</definedName>
    <definedName name="Number_of_Payments" localSheetId="4" hidden="1">MATCH(0.01,End_Bal,-1)+1</definedName>
    <definedName name="Number_of_Payments" localSheetId="20" hidden="1">MATCH(0.01,End_Bal,-1)+1</definedName>
    <definedName name="Number_of_Payments" hidden="1">MATCH(0.01,End_Bal,-1)+1</definedName>
    <definedName name="_xlnm.Print_Area" localSheetId="0">Program!$A$1:$I$37</definedName>
    <definedName name="_xlnm.Print_Area" localSheetId="2">'Referenčne količine'!$A$1:$BM$9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56" i="107" l="1"/>
  <c r="G8" i="76"/>
  <c r="B6" i="70" l="1"/>
  <c r="E36" i="1"/>
  <c r="F30" i="107" l="1"/>
  <c r="F31" i="107" s="1"/>
  <c r="F32" i="107" s="1"/>
  <c r="F33" i="107" s="1"/>
  <c r="F34" i="107" s="1"/>
  <c r="F35" i="107" s="1"/>
  <c r="F36" i="107" s="1"/>
  <c r="F37" i="107" s="1"/>
  <c r="F38" i="107" s="1"/>
  <c r="F39" i="107" s="1"/>
  <c r="F40" i="107" s="1"/>
  <c r="F41" i="107" s="1"/>
  <c r="F42" i="107" s="1"/>
  <c r="F43" i="107" s="1"/>
  <c r="F44" i="107" s="1"/>
  <c r="F45" i="107" s="1"/>
  <c r="F46" i="107" s="1"/>
  <c r="F47" i="107" s="1"/>
  <c r="F48" i="107" s="1"/>
  <c r="F49" i="107" s="1"/>
  <c r="F50" i="107" s="1"/>
  <c r="F51" i="107" s="1"/>
  <c r="F52" i="107" s="1"/>
  <c r="F53" i="107" s="1"/>
  <c r="F27" i="107"/>
  <c r="B6" i="107"/>
  <c r="F30" i="106" l="1"/>
  <c r="F31" i="106" s="1"/>
  <c r="F32" i="106" s="1"/>
  <c r="F33" i="106" s="1"/>
  <c r="F34" i="106" s="1"/>
  <c r="F35" i="106" s="1"/>
  <c r="F36" i="106" s="1"/>
  <c r="F37" i="106" s="1"/>
  <c r="F38" i="106" s="1"/>
  <c r="F39" i="106" s="1"/>
  <c r="F40" i="106" s="1"/>
  <c r="F41" i="106" s="1"/>
  <c r="F42" i="106" s="1"/>
  <c r="F43" i="106" s="1"/>
  <c r="F44" i="106" s="1"/>
  <c r="F45" i="106" s="1"/>
  <c r="F46" i="106" s="1"/>
  <c r="F47" i="106" s="1"/>
  <c r="F48" i="106" s="1"/>
  <c r="F49" i="106" s="1"/>
  <c r="F50" i="106" s="1"/>
  <c r="F51" i="106" s="1"/>
  <c r="F52" i="106" s="1"/>
  <c r="F53" i="106" s="1"/>
  <c r="F27" i="106"/>
  <c r="B6" i="106"/>
  <c r="F30" i="105"/>
  <c r="F31" i="105" s="1"/>
  <c r="F32" i="105" s="1"/>
  <c r="F27" i="105"/>
  <c r="B6" i="105"/>
  <c r="F30" i="104"/>
  <c r="F31" i="104" s="1"/>
  <c r="F32" i="104" s="1"/>
  <c r="F33" i="104" s="1"/>
  <c r="F34" i="104" s="1"/>
  <c r="F35" i="104" s="1"/>
  <c r="F36" i="104" s="1"/>
  <c r="F37" i="104" s="1"/>
  <c r="F38" i="104" s="1"/>
  <c r="F39" i="104" s="1"/>
  <c r="F40" i="104" s="1"/>
  <c r="F41" i="104" s="1"/>
  <c r="F42" i="104" s="1"/>
  <c r="F43" i="104" s="1"/>
  <c r="F44" i="104" s="1"/>
  <c r="F45" i="104" s="1"/>
  <c r="F46" i="104" s="1"/>
  <c r="F47" i="104" s="1"/>
  <c r="F48" i="104" s="1"/>
  <c r="F49" i="104" s="1"/>
  <c r="F50" i="104" s="1"/>
  <c r="F51" i="104" s="1"/>
  <c r="F52" i="104" s="1"/>
  <c r="F53" i="104" s="1"/>
  <c r="F27" i="104"/>
  <c r="B6" i="104"/>
  <c r="F30" i="103"/>
  <c r="F31" i="103" s="1"/>
  <c r="F32" i="103" s="1"/>
  <c r="F33" i="103" s="1"/>
  <c r="F34" i="103" s="1"/>
  <c r="F35" i="103" s="1"/>
  <c r="F36" i="103" s="1"/>
  <c r="F37" i="103" s="1"/>
  <c r="F38" i="103" s="1"/>
  <c r="F39" i="103" s="1"/>
  <c r="F40" i="103" s="1"/>
  <c r="F41" i="103" s="1"/>
  <c r="F42" i="103" s="1"/>
  <c r="F43" i="103" s="1"/>
  <c r="F44" i="103" s="1"/>
  <c r="F45" i="103" s="1"/>
  <c r="F46" i="103" s="1"/>
  <c r="F47" i="103" s="1"/>
  <c r="F48" i="103" s="1"/>
  <c r="F49" i="103" s="1"/>
  <c r="F50" i="103" s="1"/>
  <c r="F51" i="103" s="1"/>
  <c r="F52" i="103" s="1"/>
  <c r="F53" i="103" s="1"/>
  <c r="F27" i="103"/>
  <c r="B6" i="103"/>
  <c r="F30" i="102"/>
  <c r="F31" i="102" s="1"/>
  <c r="F32" i="102" s="1"/>
  <c r="F33" i="102" s="1"/>
  <c r="F34" i="102" s="1"/>
  <c r="F35" i="102" s="1"/>
  <c r="F36" i="102" s="1"/>
  <c r="F37" i="102" s="1"/>
  <c r="F38" i="102" s="1"/>
  <c r="F39" i="102" s="1"/>
  <c r="F40" i="102" s="1"/>
  <c r="F41" i="102" s="1"/>
  <c r="F42" i="102" s="1"/>
  <c r="F43" i="102" s="1"/>
  <c r="F44" i="102" s="1"/>
  <c r="F45" i="102" s="1"/>
  <c r="F46" i="102" s="1"/>
  <c r="F47" i="102" s="1"/>
  <c r="F48" i="102" s="1"/>
  <c r="F49" i="102" s="1"/>
  <c r="F50" i="102" s="1"/>
  <c r="F51" i="102" s="1"/>
  <c r="F52" i="102" s="1"/>
  <c r="F53" i="102" s="1"/>
  <c r="F27" i="102"/>
  <c r="B6" i="102"/>
  <c r="F30" i="101"/>
  <c r="F31" i="101" s="1"/>
  <c r="F32" i="101" s="1"/>
  <c r="F33" i="101" s="1"/>
  <c r="F34" i="101" s="1"/>
  <c r="F35" i="101" s="1"/>
  <c r="F36" i="101" s="1"/>
  <c r="F37" i="101" s="1"/>
  <c r="F38" i="101" s="1"/>
  <c r="F39" i="101" s="1"/>
  <c r="F40" i="101" s="1"/>
  <c r="F41" i="101" s="1"/>
  <c r="F42" i="101" s="1"/>
  <c r="F43" i="101" s="1"/>
  <c r="F44" i="101" s="1"/>
  <c r="F45" i="101" s="1"/>
  <c r="F46" i="101" s="1"/>
  <c r="F47" i="101" s="1"/>
  <c r="F48" i="101" s="1"/>
  <c r="F49" i="101" s="1"/>
  <c r="F50" i="101" s="1"/>
  <c r="F51" i="101" s="1"/>
  <c r="F52" i="101" s="1"/>
  <c r="F53" i="101" s="1"/>
  <c r="F27" i="101"/>
  <c r="B6" i="101"/>
  <c r="F33" i="105" l="1"/>
  <c r="C23" i="104"/>
  <c r="C22" i="104"/>
  <c r="B23" i="104"/>
  <c r="B22" i="104"/>
  <c r="C18" i="104"/>
  <c r="C17" i="104"/>
  <c r="C16" i="104"/>
  <c r="C23" i="103"/>
  <c r="C22" i="103"/>
  <c r="B23" i="103"/>
  <c r="B22" i="103"/>
  <c r="C18" i="103"/>
  <c r="C17" i="103"/>
  <c r="C16" i="103"/>
  <c r="C23" i="101"/>
  <c r="C22" i="101"/>
  <c r="B23" i="101"/>
  <c r="B22" i="101"/>
  <c r="C18" i="101"/>
  <c r="C17" i="101"/>
  <c r="C16" i="101"/>
  <c r="B18" i="104"/>
  <c r="B17" i="104"/>
  <c r="B16" i="104"/>
  <c r="B18" i="103"/>
  <c r="B17" i="103"/>
  <c r="B16" i="103"/>
  <c r="B18" i="101"/>
  <c r="B17" i="101"/>
  <c r="B16" i="101"/>
  <c r="B10" i="104"/>
  <c r="B9" i="104"/>
  <c r="B10" i="105"/>
  <c r="B10" i="102"/>
  <c r="F34" i="105" l="1"/>
  <c r="F35" i="105" l="1"/>
  <c r="F36" i="105" l="1"/>
  <c r="F37" i="105" l="1"/>
  <c r="F38" i="105" l="1"/>
  <c r="F30" i="100"/>
  <c r="F31" i="100" s="1"/>
  <c r="F32" i="100" s="1"/>
  <c r="F33" i="100" s="1"/>
  <c r="F34" i="100" s="1"/>
  <c r="F35" i="100" s="1"/>
  <c r="F36" i="100" s="1"/>
  <c r="F37" i="100" s="1"/>
  <c r="F38" i="100" s="1"/>
  <c r="F39" i="100" s="1"/>
  <c r="F40" i="100" s="1"/>
  <c r="F41" i="100" s="1"/>
  <c r="F42" i="100" s="1"/>
  <c r="F43" i="100" s="1"/>
  <c r="F44" i="100" s="1"/>
  <c r="F45" i="100" s="1"/>
  <c r="F46" i="100" s="1"/>
  <c r="F47" i="100" s="1"/>
  <c r="F48" i="100" s="1"/>
  <c r="F49" i="100" s="1"/>
  <c r="F50" i="100" s="1"/>
  <c r="F51" i="100" s="1"/>
  <c r="F52" i="100" s="1"/>
  <c r="F53" i="100" s="1"/>
  <c r="F27" i="100"/>
  <c r="B6" i="100"/>
  <c r="F39" i="105" l="1"/>
  <c r="C23" i="100"/>
  <c r="C22" i="100"/>
  <c r="B23" i="100"/>
  <c r="B22" i="100"/>
  <c r="C18" i="100"/>
  <c r="C17" i="100"/>
  <c r="C16" i="100"/>
  <c r="B18" i="100"/>
  <c r="B17" i="100"/>
  <c r="B16" i="100"/>
  <c r="F40" i="105" l="1"/>
  <c r="B8" i="70"/>
  <c r="B9" i="70"/>
  <c r="B10" i="70"/>
  <c r="F30" i="96"/>
  <c r="F31" i="96" s="1"/>
  <c r="F32" i="96" s="1"/>
  <c r="F33" i="96" s="1"/>
  <c r="F34" i="96" s="1"/>
  <c r="F27" i="96"/>
  <c r="B6" i="96"/>
  <c r="F30" i="95"/>
  <c r="F31" i="95" s="1"/>
  <c r="F32" i="95" s="1"/>
  <c r="F33" i="95" s="1"/>
  <c r="F34" i="95" s="1"/>
  <c r="F27" i="95"/>
  <c r="B6" i="95"/>
  <c r="Q118" i="94"/>
  <c r="K118" i="94"/>
  <c r="D118" i="94"/>
  <c r="C118" i="94"/>
  <c r="J117" i="94"/>
  <c r="J118" i="94" s="1"/>
  <c r="E117" i="94"/>
  <c r="E118" i="94" s="1"/>
  <c r="D107" i="94"/>
  <c r="Q107" i="94" s="1"/>
  <c r="T107" i="94" s="1"/>
  <c r="G106" i="94"/>
  <c r="J106" i="94" s="1"/>
  <c r="D106" i="94"/>
  <c r="H99" i="94"/>
  <c r="J99" i="94" s="1"/>
  <c r="E99" i="94"/>
  <c r="M98" i="94"/>
  <c r="I98" i="94"/>
  <c r="H106" i="94" s="1"/>
  <c r="H98" i="94"/>
  <c r="F98" i="94"/>
  <c r="E98" i="94"/>
  <c r="M92" i="94"/>
  <c r="G92" i="94"/>
  <c r="E92" i="94"/>
  <c r="N91" i="94"/>
  <c r="Q91" i="94" s="1"/>
  <c r="K91" i="94"/>
  <c r="K92" i="94" s="1"/>
  <c r="J91" i="94"/>
  <c r="G91" i="94"/>
  <c r="P90" i="94"/>
  <c r="P92" i="94" s="1"/>
  <c r="N90" i="94"/>
  <c r="L90" i="94"/>
  <c r="L92" i="94" s="1"/>
  <c r="J90" i="94"/>
  <c r="G90" i="94"/>
  <c r="B80" i="94"/>
  <c r="C79" i="94"/>
  <c r="B79" i="94"/>
  <c r="B78" i="94"/>
  <c r="I73" i="94"/>
  <c r="H73" i="94"/>
  <c r="G73" i="94"/>
  <c r="F73" i="94"/>
  <c r="E73" i="94"/>
  <c r="D73" i="94"/>
  <c r="J72" i="94"/>
  <c r="N71" i="94"/>
  <c r="R71" i="94" s="1"/>
  <c r="J71" i="94"/>
  <c r="B71" i="94"/>
  <c r="N70" i="94"/>
  <c r="J70" i="94"/>
  <c r="B70" i="94"/>
  <c r="Q69" i="94"/>
  <c r="P69" i="94"/>
  <c r="N69" i="94"/>
  <c r="S69" i="94" s="1"/>
  <c r="J69" i="94"/>
  <c r="B69" i="94"/>
  <c r="L62" i="94"/>
  <c r="B62" i="94"/>
  <c r="L61" i="94"/>
  <c r="J61" i="94"/>
  <c r="F61" i="94"/>
  <c r="D61" i="94"/>
  <c r="C61" i="94"/>
  <c r="C80" i="94" s="1"/>
  <c r="F60" i="94"/>
  <c r="D60" i="94"/>
  <c r="C60" i="94"/>
  <c r="F59" i="94"/>
  <c r="D59" i="94"/>
  <c r="C59" i="94"/>
  <c r="C78" i="94" s="1"/>
  <c r="B53" i="94"/>
  <c r="E52" i="94"/>
  <c r="C52" i="94"/>
  <c r="E51" i="94"/>
  <c r="C51" i="94"/>
  <c r="U50" i="94"/>
  <c r="T50" i="94"/>
  <c r="T53" i="94" s="1"/>
  <c r="S50" i="94"/>
  <c r="R50" i="94"/>
  <c r="R53" i="94" s="1"/>
  <c r="Q50" i="94"/>
  <c r="P50" i="94"/>
  <c r="P53" i="94" s="1"/>
  <c r="O50" i="94"/>
  <c r="N50" i="94"/>
  <c r="N53" i="94" s="1"/>
  <c r="M50" i="94"/>
  <c r="L50" i="94"/>
  <c r="L53" i="94" s="1"/>
  <c r="K50" i="94"/>
  <c r="J50" i="94"/>
  <c r="V50" i="94" s="1"/>
  <c r="V53" i="94" s="1"/>
  <c r="F50" i="94"/>
  <c r="R61" i="94" s="1"/>
  <c r="E50" i="94"/>
  <c r="J59" i="94" s="1"/>
  <c r="C50" i="94"/>
  <c r="L42" i="94"/>
  <c r="K42" i="94"/>
  <c r="F42" i="94"/>
  <c r="E39" i="94" s="1"/>
  <c r="E59" i="94" s="1"/>
  <c r="R41" i="94"/>
  <c r="R42" i="94" s="1"/>
  <c r="K41" i="94"/>
  <c r="Q41" i="94" s="1"/>
  <c r="Q42" i="94" s="1"/>
  <c r="J40" i="94"/>
  <c r="J39" i="94"/>
  <c r="V33" i="94"/>
  <c r="T33" i="94"/>
  <c r="R33" i="94"/>
  <c r="P33" i="94"/>
  <c r="N33" i="94"/>
  <c r="L33" i="94"/>
  <c r="J33" i="94"/>
  <c r="E33" i="94"/>
  <c r="G30" i="94" s="1"/>
  <c r="I32" i="94"/>
  <c r="I31" i="94"/>
  <c r="V30" i="94"/>
  <c r="I30" i="94"/>
  <c r="I33" i="94" s="1"/>
  <c r="N23" i="94"/>
  <c r="K72" i="94" s="1"/>
  <c r="N72" i="94" s="1"/>
  <c r="I23" i="94"/>
  <c r="L15" i="94"/>
  <c r="G31" i="94" l="1"/>
  <c r="G51" i="94" s="1"/>
  <c r="J42" i="94"/>
  <c r="F62" i="94"/>
  <c r="J73" i="94"/>
  <c r="T69" i="94"/>
  <c r="S71" i="94"/>
  <c r="L98" i="94"/>
  <c r="E100" i="94"/>
  <c r="N107" i="94"/>
  <c r="N108" i="94" s="1"/>
  <c r="K61" i="94"/>
  <c r="J92" i="94"/>
  <c r="G99" i="94"/>
  <c r="N99" i="94" s="1"/>
  <c r="Q99" i="94" s="1"/>
  <c r="U107" i="94" s="1"/>
  <c r="J53" i="94"/>
  <c r="J60" i="94"/>
  <c r="O71" i="94"/>
  <c r="L117" i="94"/>
  <c r="L118" i="94" s="1"/>
  <c r="F41" i="105"/>
  <c r="F35" i="96"/>
  <c r="F35" i="95"/>
  <c r="S72" i="94"/>
  <c r="O72" i="94"/>
  <c r="R72" i="94"/>
  <c r="Q72" i="94"/>
  <c r="O98" i="94"/>
  <c r="O100" i="94" s="1"/>
  <c r="L100" i="94"/>
  <c r="P98" i="94"/>
  <c r="P100" i="94" s="1"/>
  <c r="M100" i="94"/>
  <c r="P106" i="94"/>
  <c r="P41" i="94"/>
  <c r="S41" i="94" s="1"/>
  <c r="T72" i="94"/>
  <c r="C14" i="94"/>
  <c r="H100" i="94"/>
  <c r="J98" i="94"/>
  <c r="J100" i="94" s="1"/>
  <c r="L106" i="94"/>
  <c r="L107" i="94" s="1"/>
  <c r="M107" i="94" s="1"/>
  <c r="N98" i="94"/>
  <c r="K106" i="94"/>
  <c r="L80" i="94"/>
  <c r="L81" i="94" s="1"/>
  <c r="R62" i="94"/>
  <c r="Q70" i="94"/>
  <c r="T70" i="94"/>
  <c r="P70" i="94"/>
  <c r="P73" i="94" s="1"/>
  <c r="S70" i="94"/>
  <c r="S73" i="94" s="1"/>
  <c r="O70" i="94"/>
  <c r="G50" i="94"/>
  <c r="K62" i="94"/>
  <c r="Q61" i="94"/>
  <c r="P61" i="94"/>
  <c r="R70" i="94"/>
  <c r="P72" i="94"/>
  <c r="E15" i="94"/>
  <c r="D15" i="94"/>
  <c r="H41" i="94"/>
  <c r="H61" i="94" s="1"/>
  <c r="D80" i="94" s="1"/>
  <c r="G32" i="94"/>
  <c r="H30" i="94"/>
  <c r="H50" i="94" s="1"/>
  <c r="J62" i="94"/>
  <c r="H40" i="94"/>
  <c r="H60" i="94" s="1"/>
  <c r="M60" i="94" s="1"/>
  <c r="E53" i="94"/>
  <c r="R69" i="94"/>
  <c r="R73" i="94" s="1"/>
  <c r="P71" i="94"/>
  <c r="T71" i="94"/>
  <c r="N92" i="94"/>
  <c r="K99" i="94"/>
  <c r="K100" i="94" s="1"/>
  <c r="F14" i="94" s="1"/>
  <c r="P117" i="94"/>
  <c r="I50" i="94"/>
  <c r="O69" i="94"/>
  <c r="Q71" i="94"/>
  <c r="O106" i="94"/>
  <c r="H39" i="94"/>
  <c r="M39" i="94" s="1"/>
  <c r="M42" i="94" s="1"/>
  <c r="C13" i="94" s="1"/>
  <c r="C16" i="94" s="1"/>
  <c r="I51" i="94"/>
  <c r="I52" i="94"/>
  <c r="O90" i="94"/>
  <c r="G98" i="94"/>
  <c r="G100" i="94" s="1"/>
  <c r="V71" i="94" l="1"/>
  <c r="T73" i="94"/>
  <c r="G15" i="94"/>
  <c r="H15" i="94"/>
  <c r="M40" i="94"/>
  <c r="F42" i="105"/>
  <c r="F36" i="96"/>
  <c r="F36" i="95"/>
  <c r="N100" i="94"/>
  <c r="Q98" i="94"/>
  <c r="Q100" i="94" s="1"/>
  <c r="J80" i="94"/>
  <c r="M80" i="94" s="1"/>
  <c r="S61" i="94"/>
  <c r="H42" i="94"/>
  <c r="G39" i="94" s="1"/>
  <c r="H59" i="94"/>
  <c r="H62" i="94" s="1"/>
  <c r="I53" i="94"/>
  <c r="K80" i="94"/>
  <c r="K81" i="94" s="1"/>
  <c r="Q62" i="94"/>
  <c r="U71" i="94"/>
  <c r="S106" i="94"/>
  <c r="S108" i="94" s="1"/>
  <c r="P108" i="94"/>
  <c r="G53" i="94"/>
  <c r="O73" i="94"/>
  <c r="V69" i="94"/>
  <c r="U69" i="94"/>
  <c r="L108" i="94"/>
  <c r="Q106" i="94"/>
  <c r="M106" i="94"/>
  <c r="M108" i="94" s="1"/>
  <c r="V72" i="94"/>
  <c r="U72" i="94"/>
  <c r="O92" i="94"/>
  <c r="Q90" i="94"/>
  <c r="Q92" i="94" s="1"/>
  <c r="O108" i="94"/>
  <c r="R106" i="94"/>
  <c r="R108" i="94" s="1"/>
  <c r="R117" i="94"/>
  <c r="R118" i="94" s="1"/>
  <c r="P118" i="94"/>
  <c r="G52" i="94"/>
  <c r="N61" i="94" s="1"/>
  <c r="N41" i="94"/>
  <c r="U70" i="94"/>
  <c r="V70" i="94"/>
  <c r="Q73" i="94"/>
  <c r="F43" i="105" l="1"/>
  <c r="F37" i="96"/>
  <c r="F37" i="95"/>
  <c r="N42" i="94"/>
  <c r="O41" i="94"/>
  <c r="O42" i="94" s="1"/>
  <c r="U73" i="94"/>
  <c r="D81" i="94" s="1"/>
  <c r="D78" i="94" s="1"/>
  <c r="M59" i="94"/>
  <c r="M62" i="94" s="1"/>
  <c r="F13" i="94" s="1"/>
  <c r="F16" i="94" s="1"/>
  <c r="E14" i="94"/>
  <c r="D14" i="94"/>
  <c r="V73" i="94"/>
  <c r="E80" i="94" s="1"/>
  <c r="F80" i="94" s="1"/>
  <c r="H14" i="94"/>
  <c r="G14" i="94"/>
  <c r="H80" i="94"/>
  <c r="H81" i="94" s="1"/>
  <c r="N62" i="94"/>
  <c r="O61" i="94"/>
  <c r="I14" i="94"/>
  <c r="L14" i="94" s="1"/>
  <c r="G59" i="94"/>
  <c r="I40" i="94"/>
  <c r="P40" i="94" s="1"/>
  <c r="S40" i="94" s="1"/>
  <c r="I39" i="94"/>
  <c r="I41" i="94"/>
  <c r="D79" i="94"/>
  <c r="K15" i="94"/>
  <c r="J15" i="94"/>
  <c r="M15" i="94" s="1"/>
  <c r="N15" i="94" s="1"/>
  <c r="T106" i="94"/>
  <c r="Q108" i="94"/>
  <c r="E81" i="94"/>
  <c r="F81" i="94" s="1"/>
  <c r="N80" i="94"/>
  <c r="F44" i="105" l="1"/>
  <c r="F38" i="96"/>
  <c r="F38" i="95"/>
  <c r="E78" i="94"/>
  <c r="G78" i="94"/>
  <c r="G81" i="94" s="1"/>
  <c r="I13" i="94" s="1"/>
  <c r="E79" i="94"/>
  <c r="G79" i="94"/>
  <c r="I61" i="94"/>
  <c r="I60" i="94"/>
  <c r="P60" i="94" s="1"/>
  <c r="S60" i="94" s="1"/>
  <c r="I59" i="94"/>
  <c r="T108" i="94"/>
  <c r="U106" i="94"/>
  <c r="U108" i="94" s="1"/>
  <c r="P39" i="94"/>
  <c r="I42" i="94"/>
  <c r="I80" i="94"/>
  <c r="I81" i="94" s="1"/>
  <c r="O62" i="94"/>
  <c r="F45" i="105" l="1"/>
  <c r="F39" i="96"/>
  <c r="F39" i="95"/>
  <c r="K14" i="94"/>
  <c r="J14" i="94"/>
  <c r="M14" i="94" s="1"/>
  <c r="N14" i="94" s="1"/>
  <c r="I62" i="94"/>
  <c r="P59" i="94"/>
  <c r="F79" i="94"/>
  <c r="J79" i="94"/>
  <c r="M79" i="94" s="1"/>
  <c r="N79" i="94" s="1"/>
  <c r="P42" i="94"/>
  <c r="S39" i="94"/>
  <c r="S42" i="94" s="1"/>
  <c r="D13" i="94" s="1"/>
  <c r="L13" i="94"/>
  <c r="L16" i="94" s="1"/>
  <c r="I16" i="94"/>
  <c r="F78" i="94"/>
  <c r="J78" i="94"/>
  <c r="F46" i="105" l="1"/>
  <c r="F40" i="96"/>
  <c r="F40" i="95"/>
  <c r="J81" i="94"/>
  <c r="M78" i="94"/>
  <c r="D16" i="94"/>
  <c r="E13" i="94"/>
  <c r="E16" i="94" s="1"/>
  <c r="P62" i="94"/>
  <c r="S59" i="94"/>
  <c r="S62" i="94" s="1"/>
  <c r="F47" i="105" l="1"/>
  <c r="F41" i="96"/>
  <c r="F41" i="95"/>
  <c r="H13" i="94"/>
  <c r="H16" i="94" s="1"/>
  <c r="G13" i="94"/>
  <c r="G16" i="94" s="1"/>
  <c r="N78" i="94"/>
  <c r="N81" i="94" s="1"/>
  <c r="M81" i="94"/>
  <c r="F48" i="105" l="1"/>
  <c r="F42" i="96"/>
  <c r="F42" i="95"/>
  <c r="K13" i="94"/>
  <c r="K16" i="94" s="1"/>
  <c r="J13" i="94"/>
  <c r="F49" i="105" l="1"/>
  <c r="F43" i="96"/>
  <c r="F43" i="95"/>
  <c r="M13" i="94"/>
  <c r="J16" i="94"/>
  <c r="F50" i="105" l="1"/>
  <c r="F44" i="96"/>
  <c r="F44" i="95"/>
  <c r="N16" i="94"/>
  <c r="M16" i="94"/>
  <c r="N13" i="94"/>
  <c r="F51" i="105" l="1"/>
  <c r="F45" i="96"/>
  <c r="F45" i="95"/>
  <c r="F30" i="93"/>
  <c r="F31" i="93" s="1"/>
  <c r="F32" i="93" s="1"/>
  <c r="F33" i="93" s="1"/>
  <c r="F27" i="93"/>
  <c r="B6" i="93"/>
  <c r="F52" i="105" l="1"/>
  <c r="F46" i="96"/>
  <c r="F46" i="95"/>
  <c r="F34" i="93"/>
  <c r="F53" i="105" l="1"/>
  <c r="F47" i="96"/>
  <c r="F47" i="95"/>
  <c r="F35" i="93"/>
  <c r="F48" i="96" l="1"/>
  <c r="F48" i="95"/>
  <c r="F36" i="93"/>
  <c r="F49" i="96" l="1"/>
  <c r="F49" i="95"/>
  <c r="F37" i="93"/>
  <c r="F50" i="96" l="1"/>
  <c r="F50" i="95"/>
  <c r="F38" i="93"/>
  <c r="F51" i="96" l="1"/>
  <c r="F51" i="95"/>
  <c r="F39" i="93"/>
  <c r="F52" i="96" l="1"/>
  <c r="F52" i="95"/>
  <c r="F40" i="93"/>
  <c r="D7" i="91"/>
  <c r="D8" i="91" s="1"/>
  <c r="D9" i="91" s="1"/>
  <c r="D10" i="91" s="1"/>
  <c r="D11" i="91" s="1"/>
  <c r="D12" i="91" s="1"/>
  <c r="D13" i="91" s="1"/>
  <c r="D14" i="91" s="1"/>
  <c r="D15" i="91" s="1"/>
  <c r="D16" i="91" s="1"/>
  <c r="D17" i="91" s="1"/>
  <c r="D18" i="91" s="1"/>
  <c r="D19" i="91" s="1"/>
  <c r="F53" i="96" l="1"/>
  <c r="F53" i="95"/>
  <c r="F41" i="93"/>
  <c r="A6" i="8"/>
  <c r="A7" i="8" s="1"/>
  <c r="F42" i="93" l="1"/>
  <c r="F43" i="93" l="1"/>
  <c r="F44" i="93" l="1"/>
  <c r="F45" i="93" l="1"/>
  <c r="F46" i="93" l="1"/>
  <c r="F47" i="93" l="1"/>
  <c r="F48" i="93" l="1"/>
  <c r="F49" i="93" l="1"/>
  <c r="F50" i="93" l="1"/>
  <c r="F51" i="93" l="1"/>
  <c r="F52" i="93" l="1"/>
  <c r="F53" i="93" l="1"/>
  <c r="M5" i="8" l="1"/>
  <c r="N5" i="8"/>
  <c r="O5" i="8"/>
  <c r="P5" i="8"/>
  <c r="M6" i="8"/>
  <c r="N6" i="8"/>
  <c r="O6" i="8"/>
  <c r="P6" i="8"/>
  <c r="M7" i="8"/>
  <c r="N7" i="8"/>
  <c r="O7" i="8"/>
  <c r="P7" i="8"/>
  <c r="B23" i="105" l="1"/>
  <c r="B22" i="105"/>
  <c r="B22" i="102" l="1"/>
  <c r="C22" i="102" l="1"/>
  <c r="C23" i="105" l="1"/>
  <c r="C22" i="105"/>
  <c r="B23" i="102" l="1"/>
  <c r="B16" i="105"/>
  <c r="B17" i="105"/>
  <c r="B16" i="102" l="1"/>
  <c r="B17" i="102"/>
  <c r="C23" i="102"/>
  <c r="C16" i="105"/>
  <c r="C17" i="105"/>
  <c r="B18" i="105"/>
  <c r="C17" i="102" l="1"/>
  <c r="C16" i="102"/>
  <c r="B18" i="102"/>
  <c r="C18" i="105"/>
  <c r="C18" i="102" l="1"/>
  <c r="B7" i="106" l="1"/>
  <c r="B7" i="104"/>
  <c r="B7" i="102"/>
  <c r="B7" i="103"/>
  <c r="B7" i="101"/>
  <c r="B7" i="100"/>
  <c r="B5" i="103" l="1"/>
  <c r="B4" i="102"/>
  <c r="B7" i="105"/>
  <c r="B5" i="106"/>
  <c r="B4" i="100"/>
  <c r="B5" i="102"/>
  <c r="B4" i="105"/>
  <c r="B5" i="100"/>
  <c r="B4" i="101"/>
  <c r="B5" i="105"/>
  <c r="B4" i="104"/>
  <c r="B5" i="101"/>
  <c r="B4" i="103"/>
  <c r="B5" i="104"/>
  <c r="B4" i="106"/>
  <c r="B14" i="104" l="1"/>
  <c r="B21" i="104" l="1"/>
  <c r="B15" i="104"/>
  <c r="B9" i="102"/>
  <c r="B8" i="104"/>
  <c r="B24" i="104"/>
  <c r="C25" i="104" l="1"/>
  <c r="B25" i="104"/>
  <c r="C15" i="104"/>
  <c r="C67" i="104" s="1"/>
  <c r="C21" i="104"/>
  <c r="C24" i="104"/>
  <c r="C14" i="104" l="1"/>
  <c r="B26" i="104" l="1"/>
  <c r="C84" i="104" s="1"/>
  <c r="C85" i="104" l="1"/>
  <c r="B19" i="104" l="1"/>
  <c r="B20" i="104" l="1"/>
  <c r="C20" i="104"/>
  <c r="C19" i="104" l="1"/>
  <c r="B22" i="106" l="1"/>
  <c r="C22" i="106" l="1"/>
  <c r="B23" i="106" l="1"/>
  <c r="C23" i="106" l="1"/>
  <c r="B17" i="106"/>
  <c r="B16" i="106"/>
  <c r="C16" i="106" l="1"/>
  <c r="C17" i="106"/>
  <c r="B18" i="106"/>
  <c r="C18" i="106" l="1"/>
  <c r="B9" i="103" l="1"/>
  <c r="B10" i="100"/>
  <c r="B8" i="106"/>
  <c r="B9" i="101"/>
  <c r="B10" i="103"/>
  <c r="B10" i="101"/>
  <c r="B9" i="100"/>
  <c r="B9" i="106"/>
  <c r="B8" i="100"/>
  <c r="B8" i="101"/>
  <c r="B8" i="103"/>
  <c r="B10" i="106"/>
  <c r="B19" i="102" l="1"/>
  <c r="B14" i="102" l="1"/>
  <c r="B14" i="103" l="1"/>
  <c r="B14" i="106"/>
  <c r="B14" i="105"/>
  <c r="B9" i="105"/>
  <c r="B8" i="102"/>
  <c r="B14" i="101"/>
  <c r="B14" i="100"/>
  <c r="B8" i="105"/>
  <c r="B19" i="100" l="1"/>
  <c r="B15" i="105"/>
  <c r="B21" i="101"/>
  <c r="B21" i="102"/>
  <c r="B21" i="103"/>
  <c r="B19" i="106"/>
  <c r="B24" i="100"/>
  <c r="B19" i="101"/>
  <c r="B21" i="100"/>
  <c r="B21" i="105"/>
  <c r="B24" i="101"/>
  <c r="B19" i="105"/>
  <c r="B19" i="103"/>
  <c r="B15" i="102"/>
  <c r="B21" i="106"/>
  <c r="B24" i="102"/>
  <c r="B15" i="106"/>
  <c r="B15" i="103"/>
  <c r="C15" i="106" l="1"/>
  <c r="C21" i="103"/>
  <c r="C15" i="102"/>
  <c r="C21" i="105"/>
  <c r="B24" i="105"/>
  <c r="C25" i="102"/>
  <c r="B25" i="102"/>
  <c r="B25" i="101"/>
  <c r="C25" i="101"/>
  <c r="C20" i="101"/>
  <c r="B20" i="101"/>
  <c r="B25" i="100"/>
  <c r="C25" i="100"/>
  <c r="C24" i="101"/>
  <c r="C21" i="101"/>
  <c r="C15" i="103"/>
  <c r="C21" i="106"/>
  <c r="B20" i="105"/>
  <c r="C20" i="105"/>
  <c r="B15" i="100"/>
  <c r="C21" i="102"/>
  <c r="C24" i="102"/>
  <c r="B24" i="106"/>
  <c r="C15" i="105"/>
  <c r="C24" i="103"/>
  <c r="B24" i="103"/>
  <c r="B20" i="102"/>
  <c r="C20" i="102"/>
  <c r="B20" i="103"/>
  <c r="C20" i="103"/>
  <c r="C21" i="100"/>
  <c r="C24" i="100"/>
  <c r="B15" i="101"/>
  <c r="B20" i="106"/>
  <c r="C20" i="106"/>
  <c r="C19" i="106" l="1"/>
  <c r="C19" i="103"/>
  <c r="C24" i="106"/>
  <c r="C25" i="106"/>
  <c r="B25" i="106"/>
  <c r="C15" i="100"/>
  <c r="C19" i="105"/>
  <c r="C15" i="101"/>
  <c r="C25" i="103"/>
  <c r="B25" i="103"/>
  <c r="C14" i="102"/>
  <c r="C14" i="106"/>
  <c r="C19" i="102"/>
  <c r="C14" i="103"/>
  <c r="C19" i="101"/>
  <c r="C14" i="105"/>
  <c r="C20" i="100"/>
  <c r="B20" i="100"/>
  <c r="B25" i="105"/>
  <c r="C25" i="105"/>
  <c r="C24" i="105"/>
  <c r="C14" i="101" l="1"/>
  <c r="C19" i="100"/>
  <c r="C14" i="100"/>
  <c r="B26" i="106"/>
  <c r="B26" i="100"/>
  <c r="C84" i="100" s="1"/>
  <c r="C85" i="100" l="1"/>
  <c r="C84" i="106"/>
  <c r="C85" i="106" s="1"/>
  <c r="B26" i="105"/>
  <c r="B26" i="103" l="1"/>
  <c r="B26" i="101"/>
  <c r="C84" i="101" s="1"/>
  <c r="C84" i="105"/>
  <c r="C85" i="105" s="1"/>
  <c r="B26" i="102"/>
  <c r="C85" i="101" l="1"/>
  <c r="C84" i="103"/>
  <c r="C85" i="103" s="1"/>
  <c r="C84" i="102"/>
  <c r="C85" i="102" s="1"/>
  <c r="C54" i="104" l="1"/>
  <c r="B54" i="104"/>
  <c r="D54" i="104"/>
  <c r="E54" i="104"/>
  <c r="D54" i="102"/>
  <c r="E54" i="102"/>
  <c r="B54" i="102"/>
  <c r="C54" i="102"/>
  <c r="C116" i="104" l="1"/>
  <c r="C115" i="104"/>
  <c r="C118" i="104"/>
  <c r="C119" i="104"/>
  <c r="C117" i="104"/>
  <c r="C120" i="104"/>
  <c r="C77" i="104" l="1"/>
  <c r="C79" i="104"/>
  <c r="C114" i="104" l="1"/>
  <c r="C121" i="104" s="1"/>
  <c r="B121" i="104"/>
  <c r="C81" i="104"/>
  <c r="C80" i="104"/>
  <c r="B121" i="102"/>
  <c r="E54" i="105" l="1"/>
  <c r="D54" i="105" l="1"/>
  <c r="B54" i="105"/>
  <c r="C54" i="105"/>
  <c r="B121" i="105" l="1"/>
  <c r="D121" i="104" l="1"/>
  <c r="C66" i="104" l="1"/>
  <c r="E54" i="106" l="1"/>
  <c r="D54" i="106"/>
  <c r="B54" i="106" l="1"/>
  <c r="C54" i="106"/>
  <c r="B121" i="106" l="1"/>
  <c r="D54" i="103" l="1"/>
  <c r="E54" i="103"/>
  <c r="B54" i="103" l="1"/>
  <c r="C54" i="103"/>
  <c r="B121" i="103" l="1"/>
  <c r="B121" i="100" l="1"/>
  <c r="C79" i="106" l="1"/>
  <c r="C77" i="106"/>
  <c r="C77" i="103"/>
  <c r="C79" i="103"/>
  <c r="C81" i="103" l="1"/>
  <c r="C80" i="103"/>
  <c r="C81" i="106"/>
  <c r="C80" i="106"/>
  <c r="C67" i="106" l="1"/>
  <c r="C117" i="106"/>
  <c r="C118" i="106"/>
  <c r="C120" i="106"/>
  <c r="C119" i="106"/>
  <c r="C116" i="106"/>
  <c r="C115" i="106"/>
  <c r="C114" i="106"/>
  <c r="C67" i="103" l="1"/>
  <c r="C117" i="103"/>
  <c r="C120" i="103"/>
  <c r="C116" i="103"/>
  <c r="C118" i="103"/>
  <c r="C119" i="103"/>
  <c r="C115" i="103"/>
  <c r="C114" i="103"/>
  <c r="C71" i="106"/>
  <c r="C121" i="106"/>
  <c r="D121" i="106"/>
  <c r="C121" i="103" l="1"/>
  <c r="D121" i="103"/>
  <c r="C66" i="106"/>
  <c r="C66" i="103" l="1"/>
  <c r="C77" i="105" l="1"/>
  <c r="C79" i="105"/>
  <c r="C81" i="105" l="1"/>
  <c r="C80" i="105"/>
  <c r="C67" i="105" l="1"/>
  <c r="C116" i="105"/>
  <c r="C115" i="105"/>
  <c r="C119" i="105"/>
  <c r="C120" i="105"/>
  <c r="C117" i="105"/>
  <c r="C118" i="105"/>
  <c r="C114" i="105"/>
  <c r="C121" i="105" l="1"/>
  <c r="D121" i="105"/>
  <c r="C66" i="105" l="1"/>
  <c r="C79" i="100" l="1"/>
  <c r="C77" i="100"/>
  <c r="C81" i="100" l="1"/>
  <c r="C80" i="100"/>
  <c r="C67" i="100" l="1"/>
  <c r="C115" i="100"/>
  <c r="C119" i="100"/>
  <c r="C117" i="100"/>
  <c r="C120" i="100"/>
  <c r="C116" i="100"/>
  <c r="C118" i="100"/>
  <c r="C114" i="100"/>
  <c r="D121" i="100" l="1"/>
  <c r="C121" i="100"/>
  <c r="C71" i="100"/>
  <c r="C66" i="100"/>
  <c r="C77" i="102" l="1"/>
  <c r="C79" i="102"/>
  <c r="C81" i="102" l="1"/>
  <c r="C80" i="102"/>
  <c r="C67" i="102" l="1"/>
  <c r="C115" i="102"/>
  <c r="C118" i="102"/>
  <c r="C117" i="102"/>
  <c r="C120" i="102"/>
  <c r="C116" i="102"/>
  <c r="C119" i="102"/>
  <c r="C114" i="102"/>
  <c r="C121" i="102" l="1"/>
  <c r="D121" i="102"/>
  <c r="C66" i="102" l="1"/>
  <c r="C67" i="101" l="1"/>
  <c r="B54" i="101" l="1"/>
  <c r="C77" i="101"/>
  <c r="C79" i="101"/>
  <c r="C54" i="101"/>
  <c r="C71" i="101"/>
  <c r="E54" i="101"/>
  <c r="D54" i="101"/>
  <c r="C120" i="101"/>
  <c r="C116" i="101"/>
  <c r="C115" i="101"/>
  <c r="C118" i="101"/>
  <c r="C117" i="101"/>
  <c r="C119" i="101"/>
  <c r="C81" i="101" l="1"/>
  <c r="C80" i="101"/>
  <c r="C114" i="101" l="1"/>
  <c r="C121" i="101" s="1"/>
  <c r="B121" i="101"/>
  <c r="D121" i="101"/>
  <c r="C66" i="101"/>
  <c r="C71" i="103" l="1"/>
  <c r="B56" i="104" l="1"/>
  <c r="B57" i="104" s="1"/>
  <c r="B56" i="103" l="1"/>
  <c r="B57" i="103" s="1"/>
  <c r="C70" i="103" l="1"/>
  <c r="C69" i="103"/>
  <c r="C69" i="100" l="1"/>
  <c r="C70" i="100"/>
  <c r="C69" i="105"/>
  <c r="B56" i="100"/>
  <c r="B57" i="100" s="1"/>
  <c r="B56" i="105"/>
  <c r="B57" i="105" s="1"/>
  <c r="C69" i="106"/>
  <c r="C70" i="106"/>
  <c r="C69" i="102"/>
  <c r="B56" i="101"/>
  <c r="B57" i="101" s="1"/>
  <c r="B56" i="102"/>
  <c r="B57" i="102" s="1"/>
  <c r="B56" i="106"/>
  <c r="B57" i="106" s="1"/>
  <c r="C69" i="104"/>
  <c r="C87" i="103"/>
  <c r="B95" i="103" l="1"/>
  <c r="C95" i="103" s="1"/>
  <c r="B104" i="103"/>
  <c r="C104" i="103" s="1"/>
  <c r="B96" i="103"/>
  <c r="C96" i="103" s="1"/>
  <c r="B92" i="103"/>
  <c r="C92" i="103" s="1"/>
  <c r="B99" i="103"/>
  <c r="C99" i="103" s="1"/>
  <c r="B106" i="103"/>
  <c r="C106" i="103" s="1"/>
  <c r="B101" i="103"/>
  <c r="C101" i="103" s="1"/>
  <c r="B103" i="103"/>
  <c r="C103" i="103" s="1"/>
  <c r="B94" i="103"/>
  <c r="C94" i="103" s="1"/>
  <c r="B93" i="103"/>
  <c r="C93" i="103" s="1"/>
  <c r="B97" i="103"/>
  <c r="C97" i="103" s="1"/>
  <c r="B102" i="103"/>
  <c r="C102" i="103" s="1"/>
  <c r="B98" i="103"/>
  <c r="C98" i="103" s="1"/>
  <c r="B105" i="103"/>
  <c r="C105" i="103" s="1"/>
  <c r="B100" i="103"/>
  <c r="C100" i="103" s="1"/>
  <c r="C87" i="106"/>
  <c r="C69" i="101"/>
  <c r="C70" i="101"/>
  <c r="C87" i="100"/>
  <c r="B103" i="100" l="1"/>
  <c r="C103" i="100" s="1"/>
  <c r="B98" i="100"/>
  <c r="C98" i="100" s="1"/>
  <c r="B106" i="100"/>
  <c r="C106" i="100" s="1"/>
  <c r="B94" i="100"/>
  <c r="C94" i="100" s="1"/>
  <c r="B95" i="100"/>
  <c r="C95" i="100" s="1"/>
  <c r="B92" i="100"/>
  <c r="C92" i="100" s="1"/>
  <c r="B97" i="100"/>
  <c r="C97" i="100" s="1"/>
  <c r="B99" i="100"/>
  <c r="C99" i="100" s="1"/>
  <c r="B105" i="100"/>
  <c r="C105" i="100" s="1"/>
  <c r="B101" i="100"/>
  <c r="C101" i="100" s="1"/>
  <c r="B93" i="100"/>
  <c r="C93" i="100" s="1"/>
  <c r="B104" i="100"/>
  <c r="C104" i="100" s="1"/>
  <c r="B96" i="100"/>
  <c r="C96" i="100" s="1"/>
  <c r="B100" i="100"/>
  <c r="C100" i="100" s="1"/>
  <c r="B102" i="100"/>
  <c r="C102" i="100" s="1"/>
  <c r="B96" i="106"/>
  <c r="C96" i="106" s="1"/>
  <c r="B94" i="106"/>
  <c r="C94" i="106" s="1"/>
  <c r="B100" i="106"/>
  <c r="C100" i="106" s="1"/>
  <c r="B93" i="106"/>
  <c r="C93" i="106" s="1"/>
  <c r="B97" i="106"/>
  <c r="C97" i="106" s="1"/>
  <c r="B99" i="106"/>
  <c r="C99" i="106" s="1"/>
  <c r="B104" i="106"/>
  <c r="C104" i="106" s="1"/>
  <c r="B106" i="106"/>
  <c r="C106" i="106" s="1"/>
  <c r="B98" i="106"/>
  <c r="C98" i="106" s="1"/>
  <c r="B102" i="106"/>
  <c r="C102" i="106" s="1"/>
  <c r="B105" i="106"/>
  <c r="C105" i="106" s="1"/>
  <c r="B101" i="106"/>
  <c r="C101" i="106" s="1"/>
  <c r="B92" i="106"/>
  <c r="C92" i="106" s="1"/>
  <c r="B95" i="106"/>
  <c r="C95" i="106" s="1"/>
  <c r="B103" i="106"/>
  <c r="C103" i="106" s="1"/>
  <c r="C107" i="103"/>
  <c r="C88" i="103" s="1"/>
  <c r="C87" i="101"/>
  <c r="C107" i="106" l="1"/>
  <c r="C88" i="106" s="1"/>
  <c r="C107" i="100"/>
  <c r="C88" i="100" s="1"/>
  <c r="B102" i="101"/>
  <c r="C102" i="101" s="1"/>
  <c r="B98" i="101"/>
  <c r="C98" i="101" s="1"/>
  <c r="B100" i="101"/>
  <c r="C100" i="101" s="1"/>
  <c r="B95" i="101"/>
  <c r="C95" i="101" s="1"/>
  <c r="B104" i="101"/>
  <c r="C104" i="101" s="1"/>
  <c r="B92" i="101"/>
  <c r="C92" i="101" s="1"/>
  <c r="B105" i="101"/>
  <c r="C105" i="101" s="1"/>
  <c r="B94" i="101"/>
  <c r="C94" i="101" s="1"/>
  <c r="B101" i="101"/>
  <c r="C101" i="101" s="1"/>
  <c r="B97" i="101"/>
  <c r="C97" i="101" s="1"/>
  <c r="B96" i="101"/>
  <c r="C96" i="101" s="1"/>
  <c r="B93" i="101"/>
  <c r="C93" i="101" s="1"/>
  <c r="B103" i="101"/>
  <c r="C103" i="101" s="1"/>
  <c r="B106" i="101"/>
  <c r="C106" i="101" s="1"/>
  <c r="B99" i="101"/>
  <c r="C99" i="101" s="1"/>
  <c r="C107" i="101" l="1"/>
  <c r="C88" i="101" s="1"/>
  <c r="B21" i="96" l="1"/>
  <c r="E10" i="70"/>
  <c r="E9" i="70"/>
  <c r="E8" i="70"/>
  <c r="E6" i="70"/>
  <c r="B21" i="107"/>
  <c r="B21" i="93"/>
  <c r="B7" i="107"/>
  <c r="B7" i="95"/>
  <c r="B7" i="93"/>
  <c r="B7" i="96"/>
  <c r="B22" i="96"/>
  <c r="BF6" i="79"/>
  <c r="B18" i="93"/>
  <c r="B18" i="95"/>
  <c r="B22" i="93"/>
  <c r="B22" i="95"/>
  <c r="B22" i="107"/>
  <c r="BF4" i="79"/>
  <c r="BF8" i="79"/>
  <c r="B8" i="96"/>
  <c r="B23" i="107"/>
  <c r="AL4" i="79" l="1"/>
  <c r="G5" i="76"/>
  <c r="B5" i="93"/>
  <c r="D8" i="70"/>
  <c r="C8" i="70"/>
  <c r="B4" i="93"/>
  <c r="AK4" i="79"/>
  <c r="B14" i="96" s="1"/>
  <c r="AM4" i="79"/>
  <c r="BB8" i="79"/>
  <c r="B24" i="107"/>
  <c r="B24" i="96"/>
  <c r="BB4" i="79"/>
  <c r="BG8" i="79"/>
  <c r="C24" i="107" s="1"/>
  <c r="O8" i="79"/>
  <c r="C21" i="107"/>
  <c r="O4" i="79"/>
  <c r="C21" i="96"/>
  <c r="D9" i="70"/>
  <c r="B5" i="95"/>
  <c r="C9" i="70"/>
  <c r="B4" i="95"/>
  <c r="AL7" i="79"/>
  <c r="D6" i="70"/>
  <c r="B5" i="96"/>
  <c r="B4" i="96"/>
  <c r="C6" i="70"/>
  <c r="C21" i="93"/>
  <c r="O6" i="79"/>
  <c r="B5" i="107"/>
  <c r="D10" i="70"/>
  <c r="C10" i="70"/>
  <c r="B4" i="107"/>
  <c r="C25" i="96" l="1"/>
  <c r="B25" i="96"/>
  <c r="B15" i="96"/>
  <c r="AT4" i="79"/>
  <c r="BG4" i="79"/>
  <c r="C24" i="96" s="1"/>
  <c r="B19" i="95"/>
  <c r="C25" i="107"/>
  <c r="B25" i="107"/>
  <c r="B19" i="96"/>
  <c r="AN4" i="79"/>
  <c r="B20" i="96" l="1"/>
  <c r="C20" i="96"/>
  <c r="AU4" i="79"/>
  <c r="AV4" i="79" s="1"/>
  <c r="C15" i="96"/>
  <c r="AS4" i="79"/>
  <c r="C14" i="96" s="1"/>
  <c r="C19" i="96" l="1"/>
  <c r="BJ4" i="79"/>
  <c r="C22" i="96" l="1"/>
  <c r="C22" i="93" l="1"/>
  <c r="C18" i="93" l="1"/>
  <c r="B54" i="93" l="1"/>
  <c r="D54" i="93"/>
  <c r="C54" i="93"/>
  <c r="E54" i="93"/>
  <c r="B54" i="95"/>
  <c r="D54" i="95"/>
  <c r="E54" i="95"/>
  <c r="C54" i="95"/>
  <c r="E54" i="100"/>
  <c r="C54" i="100"/>
  <c r="B54" i="100"/>
  <c r="D54" i="100"/>
  <c r="B121" i="93" l="1"/>
  <c r="B121" i="95"/>
  <c r="C22" i="107" l="1"/>
  <c r="D54" i="107" l="1"/>
  <c r="E54" i="107"/>
  <c r="C70" i="105" l="1"/>
  <c r="C87" i="105" s="1"/>
  <c r="C71" i="105"/>
  <c r="B54" i="107"/>
  <c r="C54" i="107"/>
  <c r="B121" i="107" l="1"/>
  <c r="B104" i="105"/>
  <c r="C104" i="105" s="1"/>
  <c r="B94" i="105"/>
  <c r="C94" i="105" s="1"/>
  <c r="B98" i="105"/>
  <c r="C98" i="105" s="1"/>
  <c r="B100" i="105"/>
  <c r="C100" i="105" s="1"/>
  <c r="B96" i="105"/>
  <c r="C96" i="105" s="1"/>
  <c r="B103" i="105"/>
  <c r="C103" i="105" s="1"/>
  <c r="B97" i="105"/>
  <c r="C97" i="105" s="1"/>
  <c r="B93" i="105"/>
  <c r="C93" i="105" s="1"/>
  <c r="B106" i="105"/>
  <c r="C106" i="105" s="1"/>
  <c r="B95" i="105"/>
  <c r="C95" i="105" s="1"/>
  <c r="B99" i="105"/>
  <c r="C99" i="105" s="1"/>
  <c r="B105" i="105"/>
  <c r="C105" i="105" s="1"/>
  <c r="B92" i="105"/>
  <c r="C92" i="105" s="1"/>
  <c r="C107" i="105" s="1"/>
  <c r="C88" i="105" s="1"/>
  <c r="B101" i="105"/>
  <c r="C101" i="105" s="1"/>
  <c r="B102" i="105"/>
  <c r="C102" i="105" s="1"/>
  <c r="C71" i="104" l="1"/>
  <c r="C70" i="104"/>
  <c r="C87" i="104" s="1"/>
  <c r="B101" i="104" l="1"/>
  <c r="C101" i="104" s="1"/>
  <c r="B103" i="104"/>
  <c r="C103" i="104" s="1"/>
  <c r="B106" i="104"/>
  <c r="C106" i="104" s="1"/>
  <c r="B95" i="104"/>
  <c r="C95" i="104" s="1"/>
  <c r="B102" i="104"/>
  <c r="C102" i="104" s="1"/>
  <c r="B94" i="104"/>
  <c r="C94" i="104" s="1"/>
  <c r="B105" i="104"/>
  <c r="C105" i="104" s="1"/>
  <c r="B97" i="104"/>
  <c r="C97" i="104" s="1"/>
  <c r="B92" i="104"/>
  <c r="C92" i="104" s="1"/>
  <c r="C107" i="104" s="1"/>
  <c r="C88" i="104" s="1"/>
  <c r="B99" i="104"/>
  <c r="C99" i="104" s="1"/>
  <c r="B96" i="104"/>
  <c r="C96" i="104" s="1"/>
  <c r="B93" i="104"/>
  <c r="C93" i="104" s="1"/>
  <c r="B100" i="104"/>
  <c r="C100" i="104" s="1"/>
  <c r="B98" i="104"/>
  <c r="C98" i="104" s="1"/>
  <c r="B104" i="104"/>
  <c r="C104" i="104" s="1"/>
  <c r="E54" i="96" l="1"/>
  <c r="C54" i="96"/>
  <c r="D54" i="96"/>
  <c r="B54" i="96"/>
  <c r="B121" i="96" l="1"/>
  <c r="C22" i="95" l="1"/>
  <c r="C23" i="107" l="1"/>
  <c r="C18" i="95" l="1"/>
  <c r="C77" i="107" l="1"/>
  <c r="F9" i="8" a="1"/>
  <c r="F9" i="8" l="1"/>
  <c r="C81" i="107"/>
  <c r="G9" i="8" a="1"/>
  <c r="G9" i="8" l="1"/>
  <c r="C71" i="102"/>
  <c r="C70" i="102"/>
  <c r="C87" i="102" s="1"/>
  <c r="B98" i="102" l="1"/>
  <c r="C98" i="102" s="1"/>
  <c r="B99" i="102"/>
  <c r="C99" i="102" s="1"/>
  <c r="B93" i="102"/>
  <c r="C93" i="102" s="1"/>
  <c r="B104" i="102"/>
  <c r="C104" i="102" s="1"/>
  <c r="B97" i="102"/>
  <c r="C97" i="102" s="1"/>
  <c r="B95" i="102"/>
  <c r="C95" i="102" s="1"/>
  <c r="B100" i="102"/>
  <c r="C100" i="102" s="1"/>
  <c r="B96" i="102"/>
  <c r="C96" i="102" s="1"/>
  <c r="B102" i="102"/>
  <c r="C102" i="102" s="1"/>
  <c r="B101" i="102"/>
  <c r="C101" i="102" s="1"/>
  <c r="B92" i="102"/>
  <c r="C92" i="102" s="1"/>
  <c r="C107" i="102" s="1"/>
  <c r="C88" i="102" s="1"/>
  <c r="B106" i="102"/>
  <c r="C106" i="102" s="1"/>
  <c r="B105" i="102"/>
  <c r="C105" i="102" s="1"/>
  <c r="B94" i="102"/>
  <c r="C94" i="102" s="1"/>
  <c r="B103" i="102"/>
  <c r="C103" i="102" s="1"/>
  <c r="B16" i="95" l="1"/>
  <c r="B17" i="95"/>
  <c r="B23" i="95"/>
  <c r="C17" i="95" l="1"/>
  <c r="C23" i="95"/>
  <c r="C16" i="95"/>
  <c r="C119" i="95" l="1"/>
  <c r="C115" i="95"/>
  <c r="C116" i="95"/>
  <c r="C118" i="95"/>
  <c r="C120" i="95"/>
  <c r="C117" i="95"/>
  <c r="C114" i="95"/>
  <c r="C121" i="95" l="1"/>
  <c r="D121" i="95"/>
  <c r="C69" i="95" l="1"/>
  <c r="B17" i="107" l="1"/>
  <c r="B16" i="107"/>
  <c r="C16" i="107" l="1"/>
  <c r="C17" i="107"/>
  <c r="B18" i="107" l="1"/>
  <c r="C18" i="107" l="1"/>
  <c r="C117" i="107" l="1"/>
  <c r="C115" i="107"/>
  <c r="C120" i="107"/>
  <c r="C119" i="107"/>
  <c r="C118" i="107"/>
  <c r="C114" i="107"/>
  <c r="C116" i="107"/>
  <c r="C121" i="107" l="1"/>
  <c r="D121" i="107"/>
  <c r="C79" i="107" l="1"/>
  <c r="C80" i="107"/>
  <c r="H9" i="8" a="1"/>
  <c r="H9" i="8" l="1"/>
  <c r="B23" i="93" l="1"/>
  <c r="C23" i="93" l="1"/>
  <c r="C77" i="93" l="1"/>
  <c r="F7" i="8" a="1"/>
  <c r="F7" i="8" l="1"/>
  <c r="C81" i="93"/>
  <c r="G7" i="8" a="1"/>
  <c r="G7" i="8" l="1"/>
  <c r="B17" i="93"/>
  <c r="C17" i="93" l="1"/>
  <c r="B16" i="93" l="1"/>
  <c r="C16" i="93" l="1"/>
  <c r="C118" i="93" l="1"/>
  <c r="C116" i="93"/>
  <c r="C119" i="93"/>
  <c r="C120" i="93"/>
  <c r="C115" i="93"/>
  <c r="C117" i="93"/>
  <c r="C114" i="93"/>
  <c r="D121" i="93" l="1"/>
  <c r="C121" i="93"/>
  <c r="C69" i="93" l="1"/>
  <c r="B17" i="96" l="1"/>
  <c r="C17" i="96" l="1"/>
  <c r="B16" i="96"/>
  <c r="B18" i="96"/>
  <c r="C16" i="96" l="1"/>
  <c r="C18" i="96" l="1"/>
  <c r="C67" i="96" l="1"/>
  <c r="C116" i="96"/>
  <c r="C119" i="96"/>
  <c r="C117" i="96"/>
  <c r="C115" i="96"/>
  <c r="C120" i="96"/>
  <c r="C118" i="96"/>
  <c r="C114" i="96"/>
  <c r="C5" i="8"/>
  <c r="D121" i="96" l="1"/>
  <c r="C66" i="96"/>
  <c r="C121" i="96"/>
  <c r="C71" i="96"/>
  <c r="B23" i="96"/>
  <c r="D5" i="8" a="1"/>
  <c r="D5" i="8" l="1"/>
  <c r="C23" i="96"/>
  <c r="C77" i="96" l="1"/>
  <c r="C79" i="96"/>
  <c r="F5" i="8" a="1"/>
  <c r="F5" i="8" l="1"/>
  <c r="C81" i="96"/>
  <c r="C80" i="96"/>
  <c r="G5" i="8" a="1"/>
  <c r="H5" i="8" a="1"/>
  <c r="H5" i="8" l="1"/>
  <c r="G5" i="8"/>
  <c r="B8" i="95"/>
  <c r="AL8" i="79" l="1"/>
  <c r="B19" i="107" s="1"/>
  <c r="AL6" i="79"/>
  <c r="B19" i="93"/>
  <c r="B10" i="107" l="1"/>
  <c r="B10" i="96" l="1"/>
  <c r="B9" i="96" l="1"/>
  <c r="G6" i="76" l="1"/>
  <c r="G7" i="76"/>
  <c r="B10" i="95"/>
  <c r="B56" i="96" l="1"/>
  <c r="B57" i="96" s="1"/>
  <c r="B8" i="107"/>
  <c r="B8" i="93"/>
  <c r="L5" i="8" a="1"/>
  <c r="L5" i="8" l="1"/>
  <c r="B9" i="95"/>
  <c r="B21" i="95" l="1"/>
  <c r="BF7" i="79"/>
  <c r="AK6" i="79"/>
  <c r="C69" i="96"/>
  <c r="C70" i="96"/>
  <c r="B10" i="93"/>
  <c r="AK7" i="79"/>
  <c r="B14" i="95" s="1"/>
  <c r="AK8" i="79"/>
  <c r="B14" i="107" s="1"/>
  <c r="E5" i="8"/>
  <c r="B14" i="93" l="1"/>
  <c r="AM6" i="79"/>
  <c r="AT6" i="79" s="1"/>
  <c r="C21" i="95"/>
  <c r="C77" i="95" s="1"/>
  <c r="O7" i="79"/>
  <c r="B24" i="95"/>
  <c r="BB7" i="79"/>
  <c r="BG7" i="79" s="1"/>
  <c r="C24" i="95" s="1"/>
  <c r="B26" i="96"/>
  <c r="BL4" i="79"/>
  <c r="AM7" i="79"/>
  <c r="AM8" i="79"/>
  <c r="B9" i="93"/>
  <c r="B9" i="107"/>
  <c r="C79" i="95"/>
  <c r="F8" i="8" a="1"/>
  <c r="AN6" i="79" l="1"/>
  <c r="B20" i="93" s="1"/>
  <c r="B15" i="93"/>
  <c r="F8" i="8"/>
  <c r="F11" i="8" s="1"/>
  <c r="B15" i="95"/>
  <c r="AT7" i="79"/>
  <c r="AN7" i="79"/>
  <c r="B25" i="95"/>
  <c r="C25" i="95"/>
  <c r="C80" i="95" s="1"/>
  <c r="C81" i="95"/>
  <c r="AT8" i="79"/>
  <c r="B15" i="107"/>
  <c r="AN8" i="79"/>
  <c r="C84" i="96"/>
  <c r="C15" i="93"/>
  <c r="C67" i="93" s="1"/>
  <c r="AS6" i="79"/>
  <c r="I5" i="8"/>
  <c r="G8" i="8" a="1"/>
  <c r="H8" i="8" a="1"/>
  <c r="L8" i="8" a="1"/>
  <c r="C7" i="8"/>
  <c r="C85" i="96" l="1"/>
  <c r="C20" i="93"/>
  <c r="C70" i="93" s="1"/>
  <c r="AU6" i="79"/>
  <c r="AV6" i="79" s="1"/>
  <c r="C19" i="93" s="1"/>
  <c r="H8" i="8"/>
  <c r="J5" i="8"/>
  <c r="G8" i="8"/>
  <c r="G11" i="8" s="1"/>
  <c r="AS8" i="79"/>
  <c r="C15" i="107"/>
  <c r="C67" i="107" s="1"/>
  <c r="AU7" i="79"/>
  <c r="AV7" i="79" s="1"/>
  <c r="C20" i="95"/>
  <c r="B20" i="95"/>
  <c r="C87" i="96"/>
  <c r="C15" i="95"/>
  <c r="C67" i="95" s="1"/>
  <c r="AS7" i="79"/>
  <c r="N6" i="79"/>
  <c r="C14" i="93"/>
  <c r="C66" i="93" s="1"/>
  <c r="AU8" i="79"/>
  <c r="AV8" i="79" s="1"/>
  <c r="C20" i="107"/>
  <c r="B20" i="107"/>
  <c r="C71" i="93"/>
  <c r="L8" i="8"/>
  <c r="B56" i="95"/>
  <c r="B57" i="95" s="1"/>
  <c r="B26" i="95"/>
  <c r="C9" i="8"/>
  <c r="D7" i="8" a="1"/>
  <c r="L9" i="8" a="1"/>
  <c r="L7" i="8" a="1"/>
  <c r="C8" i="8"/>
  <c r="E7" i="8"/>
  <c r="D7" i="8" l="1"/>
  <c r="C11" i="8"/>
  <c r="C19" i="95"/>
  <c r="BJ7" i="79"/>
  <c r="BL7" i="79" s="1"/>
  <c r="N7" i="79"/>
  <c r="C14" i="95"/>
  <c r="C66" i="95" s="1"/>
  <c r="B95" i="96"/>
  <c r="C95" i="96" s="1"/>
  <c r="B98" i="96"/>
  <c r="C98" i="96" s="1"/>
  <c r="B104" i="96"/>
  <c r="C104" i="96" s="1"/>
  <c r="B92" i="96"/>
  <c r="C92" i="96" s="1"/>
  <c r="B93" i="96"/>
  <c r="C93" i="96" s="1"/>
  <c r="B100" i="96"/>
  <c r="C100" i="96" s="1"/>
  <c r="B102" i="96"/>
  <c r="C102" i="96" s="1"/>
  <c r="B94" i="96"/>
  <c r="C94" i="96" s="1"/>
  <c r="B101" i="96"/>
  <c r="C101" i="96" s="1"/>
  <c r="B96" i="96"/>
  <c r="C96" i="96" s="1"/>
  <c r="B97" i="96"/>
  <c r="C97" i="96" s="1"/>
  <c r="B99" i="96"/>
  <c r="C99" i="96" s="1"/>
  <c r="B103" i="96"/>
  <c r="C103" i="96" s="1"/>
  <c r="B106" i="96"/>
  <c r="C106" i="96" s="1"/>
  <c r="B105" i="96"/>
  <c r="C105" i="96" s="1"/>
  <c r="C71" i="107"/>
  <c r="C84" i="95"/>
  <c r="C85" i="95" s="1"/>
  <c r="C19" i="107"/>
  <c r="BJ8" i="79"/>
  <c r="C71" i="95"/>
  <c r="C70" i="95"/>
  <c r="N8" i="79"/>
  <c r="C14" i="107"/>
  <c r="C66" i="107" s="1"/>
  <c r="L7" i="8"/>
  <c r="L9" i="8"/>
  <c r="B56" i="93"/>
  <c r="B57" i="93" s="1"/>
  <c r="B57" i="107"/>
  <c r="B26" i="93"/>
  <c r="C84" i="93" s="1"/>
  <c r="I8" i="8" a="1"/>
  <c r="D8" i="8" a="1"/>
  <c r="I7" i="8" a="1"/>
  <c r="D9" i="8" a="1"/>
  <c r="E8" i="8"/>
  <c r="I7" i="8" l="1"/>
  <c r="D8" i="8"/>
  <c r="D9" i="8"/>
  <c r="I8" i="8"/>
  <c r="J8" i="8" s="1"/>
  <c r="C87" i="95"/>
  <c r="C85" i="93"/>
  <c r="C107" i="96"/>
  <c r="C88" i="96" s="1"/>
  <c r="L11" i="8"/>
  <c r="B26" i="107"/>
  <c r="K5" i="8"/>
  <c r="D11" i="8" l="1"/>
  <c r="C69" i="107"/>
  <c r="C70" i="107"/>
  <c r="C84" i="107"/>
  <c r="C85" i="107" s="1"/>
  <c r="B97" i="95"/>
  <c r="C97" i="95" s="1"/>
  <c r="B94" i="95"/>
  <c r="C94" i="95" s="1"/>
  <c r="B104" i="95"/>
  <c r="C104" i="95" s="1"/>
  <c r="B101" i="95"/>
  <c r="C101" i="95" s="1"/>
  <c r="B95" i="95"/>
  <c r="C95" i="95" s="1"/>
  <c r="B103" i="95"/>
  <c r="C103" i="95" s="1"/>
  <c r="B92" i="95"/>
  <c r="C92" i="95" s="1"/>
  <c r="B100" i="95"/>
  <c r="C100" i="95" s="1"/>
  <c r="B98" i="95"/>
  <c r="C98" i="95" s="1"/>
  <c r="B93" i="95"/>
  <c r="C93" i="95" s="1"/>
  <c r="B96" i="95"/>
  <c r="C96" i="95" s="1"/>
  <c r="B105" i="95"/>
  <c r="C105" i="95" s="1"/>
  <c r="B99" i="95"/>
  <c r="C99" i="95" s="1"/>
  <c r="B106" i="95"/>
  <c r="C106" i="95" s="1"/>
  <c r="B102" i="95"/>
  <c r="C102" i="95" s="1"/>
  <c r="BL8" i="79"/>
  <c r="I9" i="8" a="1"/>
  <c r="E9" i="8"/>
  <c r="I9" i="8" l="1"/>
  <c r="I11" i="8" s="1"/>
  <c r="J19" i="8" s="1"/>
  <c r="C107" i="95"/>
  <c r="C88" i="95" s="1"/>
  <c r="E11" i="8"/>
  <c r="J17" i="8" s="1"/>
  <c r="C87" i="107"/>
  <c r="K8" i="8"/>
  <c r="J9" i="8" l="1"/>
  <c r="B103" i="107"/>
  <c r="C103" i="107" s="1"/>
  <c r="B96" i="107"/>
  <c r="C96" i="107" s="1"/>
  <c r="B99" i="107"/>
  <c r="C99" i="107" s="1"/>
  <c r="B98" i="107"/>
  <c r="C98" i="107" s="1"/>
  <c r="B104" i="107"/>
  <c r="C104" i="107" s="1"/>
  <c r="B105" i="107"/>
  <c r="C105" i="107" s="1"/>
  <c r="B97" i="107"/>
  <c r="C97" i="107" s="1"/>
  <c r="B102" i="107"/>
  <c r="C102" i="107" s="1"/>
  <c r="B101" i="107"/>
  <c r="C101" i="107" s="1"/>
  <c r="B92" i="107"/>
  <c r="C92" i="107" s="1"/>
  <c r="B100" i="107"/>
  <c r="C100" i="107" s="1"/>
  <c r="B106" i="107"/>
  <c r="C106" i="107" s="1"/>
  <c r="B93" i="107"/>
  <c r="C93" i="107" s="1"/>
  <c r="B95" i="107"/>
  <c r="C95" i="107" s="1"/>
  <c r="B94" i="107"/>
  <c r="C94" i="107" s="1"/>
  <c r="C107" i="107" l="1"/>
  <c r="C88" i="107" s="1"/>
  <c r="K9" i="8"/>
  <c r="C79" i="93" l="1"/>
  <c r="BB6" i="79" l="1"/>
  <c r="B24" i="93"/>
  <c r="B25" i="93" l="1"/>
  <c r="C25" i="93"/>
  <c r="C80" i="93" s="1"/>
  <c r="BG6" i="79"/>
  <c r="H7" i="8" a="1"/>
  <c r="H7" i="8" l="1"/>
  <c r="C24" i="93"/>
  <c r="BJ6" i="79"/>
  <c r="BL6" i="79" s="1"/>
  <c r="C87" i="93"/>
  <c r="B93" i="93" l="1"/>
  <c r="C93" i="93" s="1"/>
  <c r="B103" i="93"/>
  <c r="C103" i="93" s="1"/>
  <c r="B96" i="93"/>
  <c r="C96" i="93" s="1"/>
  <c r="B106" i="93"/>
  <c r="C106" i="93" s="1"/>
  <c r="B100" i="93"/>
  <c r="C100" i="93" s="1"/>
  <c r="B105" i="93"/>
  <c r="C105" i="93" s="1"/>
  <c r="B102" i="93"/>
  <c r="C102" i="93" s="1"/>
  <c r="B99" i="93"/>
  <c r="C99" i="93" s="1"/>
  <c r="B95" i="93"/>
  <c r="C95" i="93" s="1"/>
  <c r="B101" i="93"/>
  <c r="C101" i="93" s="1"/>
  <c r="B104" i="93"/>
  <c r="C104" i="93" s="1"/>
  <c r="B92" i="93"/>
  <c r="C92" i="93" s="1"/>
  <c r="B94" i="93"/>
  <c r="C94" i="93" s="1"/>
  <c r="B97" i="93"/>
  <c r="C97" i="93" s="1"/>
  <c r="B98" i="93"/>
  <c r="C98" i="93" s="1"/>
  <c r="H11" i="8"/>
  <c r="J18" i="8" s="1"/>
  <c r="J20" i="8" s="1"/>
  <c r="J7" i="8"/>
  <c r="J11" i="8" s="1"/>
  <c r="C107" i="93" l="1"/>
  <c r="C88" i="93" s="1"/>
  <c r="J24" i="8"/>
  <c r="J25" i="8"/>
  <c r="K7" i="8"/>
  <c r="K11" i="8" l="1"/>
  <c r="J2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Petrol</author>
  </authors>
  <commentList>
    <comment ref="J27" authorId="0" shapeId="0" xr:uid="{E683AD51-4F40-4BD6-81A3-6DD5C7808714}">
      <text>
        <r>
          <rPr>
            <b/>
            <sz val="9"/>
            <color indexed="81"/>
            <rFont val="Segoe UI"/>
            <family val="2"/>
            <charset val="238"/>
          </rPr>
          <t>Petrol:</t>
        </r>
        <r>
          <rPr>
            <sz val="9"/>
            <color indexed="81"/>
            <rFont val="Segoe UI"/>
            <family val="2"/>
            <charset val="238"/>
          </rPr>
          <t xml:space="preserve">
Npr. Električne toplotne črpalke, ipd.</t>
        </r>
      </text>
    </comment>
    <comment ref="L27" authorId="0" shapeId="0" xr:uid="{0AD5671C-CAB4-4182-A09B-4632BC8ABBCF}">
      <text>
        <r>
          <rPr>
            <b/>
            <sz val="9"/>
            <color indexed="81"/>
            <rFont val="Segoe UI"/>
            <family val="2"/>
            <charset val="238"/>
          </rPr>
          <t>Petrol:</t>
        </r>
        <r>
          <rPr>
            <sz val="9"/>
            <color indexed="81"/>
            <rFont val="Segoe UI"/>
            <family val="2"/>
            <charset val="238"/>
          </rPr>
          <t xml:space="preserve">
UNP - mešanica propan-butan ali samo propan</t>
        </r>
      </text>
    </comment>
    <comment ref="P41" authorId="0" shapeId="0" xr:uid="{A92D9980-BC2E-4ADF-8D4A-3FAC67D028CF}">
      <text>
        <r>
          <rPr>
            <b/>
            <sz val="9"/>
            <color indexed="81"/>
            <rFont val="Segoe UI"/>
            <family val="2"/>
            <charset val="238"/>
          </rPr>
          <t>Petrol:</t>
        </r>
        <r>
          <rPr>
            <sz val="9"/>
            <color indexed="81"/>
            <rFont val="Segoe UI"/>
            <family val="2"/>
            <charset val="238"/>
          </rPr>
          <t xml:space="preserve">
Nastane zaradi razlike v ceni toplote pred in po sanaciji</t>
        </r>
      </text>
    </comment>
    <comment ref="F57" authorId="0" shapeId="0" xr:uid="{11BE44C1-A614-4DFC-9C5F-183F43CB45BD}">
      <text>
        <r>
          <rPr>
            <b/>
            <sz val="9"/>
            <color indexed="81"/>
            <rFont val="Segoe UI"/>
            <family val="2"/>
            <charset val="238"/>
          </rPr>
          <t>Petrol:</t>
        </r>
        <r>
          <rPr>
            <sz val="9"/>
            <color indexed="81"/>
            <rFont val="Segoe UI"/>
            <family val="2"/>
            <charset val="238"/>
          </rPr>
          <t xml:space="preserve">
Delitev rabe poda koncesionar</t>
        </r>
      </text>
    </comment>
    <comment ref="P61" authorId="0" shapeId="0" xr:uid="{CEAA0D02-606B-4E06-99E8-E3C4C6EE68AE}">
      <text>
        <r>
          <rPr>
            <b/>
            <sz val="9"/>
            <color indexed="81"/>
            <rFont val="Segoe UI"/>
            <family val="2"/>
            <charset val="238"/>
          </rPr>
          <t>Petrol:</t>
        </r>
        <r>
          <rPr>
            <sz val="9"/>
            <color indexed="81"/>
            <rFont val="Segoe UI"/>
            <family val="2"/>
            <charset val="238"/>
          </rPr>
          <t xml:space="preserve">
Nastane zaradi razlike v ceni toplote pred in po sanaciji</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<sst xmlns="http://schemas.openxmlformats.org/spreadsheetml/2006/main" count="2705" uniqueCount="502">
  <si>
    <t>1. Vsi pripravljalni ukrepi morajo biti izvedeni skladno z veljavnimi predpisi in standardi.</t>
  </si>
  <si>
    <t>Splošne zahteve:</t>
  </si>
  <si>
    <t>Pogodbeno zagotavljanje prihrankov</t>
  </si>
  <si>
    <t>diskontna stopnja</t>
  </si>
  <si>
    <t>SKUPAJ NSV:</t>
  </si>
  <si>
    <t>SKUPAJ</t>
  </si>
  <si>
    <t>NSV</t>
  </si>
  <si>
    <t>leto</t>
  </si>
  <si>
    <t>Izračun neto sedanje vrednosti:</t>
  </si>
  <si>
    <t>SKUPAJ neto sedanja vrednost prihranka v €</t>
  </si>
  <si>
    <t>Novopričakovana raba električne energije v kWh:</t>
  </si>
  <si>
    <t>€</t>
  </si>
  <si>
    <t>€/kWh</t>
  </si>
  <si>
    <t>kWh</t>
  </si>
  <si>
    <t>Neto površina m2:</t>
  </si>
  <si>
    <t>Oznaka</t>
  </si>
  <si>
    <t>Naslov:</t>
  </si>
  <si>
    <t>Objekt:</t>
  </si>
  <si>
    <t>Osnovni podatki o objektu</t>
  </si>
  <si>
    <t>%</t>
  </si>
  <si>
    <t>id</t>
  </si>
  <si>
    <t>št.</t>
  </si>
  <si>
    <t>zajamčeni prihranek električne energije</t>
  </si>
  <si>
    <t>zajamčeni prihranek toplote</t>
  </si>
  <si>
    <t>C</t>
  </si>
  <si>
    <t>RAZLIKA MED DEJANSKIM IN ZAJAMČENIM PRIHRANKOM</t>
  </si>
  <si>
    <t>ID</t>
  </si>
  <si>
    <t>TOPLOTA</t>
  </si>
  <si>
    <t>ELEKTRIČNA ENERGIJA</t>
  </si>
  <si>
    <t>VSEBINA</t>
  </si>
  <si>
    <t>Energetsko upravljanje je sklop storitev, ki zajemajo:</t>
  </si>
  <si>
    <t>Naročnik je že pridobil podatke za objekte, ki zajemajo osnovno analizo rabe energije in stroškov oskrbe z energijo ter oceno možnih prihrankov energije in stroškov za oskrbo z energijo.</t>
  </si>
  <si>
    <t>S sistemom upravljanja mora izvajalec vzpostaviti proces stalnega spremljanja rabe energije in stroškov za oskrbo z energijo, njihovo analizo ter predlog ukrepanja ob negativnih odstopanjih.</t>
  </si>
  <si>
    <t>Ker na nekaterih objektih ni merilnih naprav za merjenje rabe energije za ogrevanje, mora izvajalec v soglasju z naročnikom vzpostaviti meritve in izvesti vgradnjo merilnih naprav.</t>
  </si>
  <si>
    <t>Spremljanje porabe</t>
  </si>
  <si>
    <t>Pregled porabe energentov v objektu</t>
  </si>
  <si>
    <t>Spremljanje stroškov</t>
  </si>
  <si>
    <t>Spremljanje stroškov energentov</t>
  </si>
  <si>
    <t>Spremljanje stroškov vode</t>
  </si>
  <si>
    <t>Spremljanje stroškov vzdrževanja</t>
  </si>
  <si>
    <t>Analizo porabe energije</t>
  </si>
  <si>
    <t>Analiza porabe energije glede na dnevni temperaturni primanjkljaj</t>
  </si>
  <si>
    <t>Analiza porabe energije glede na število uporabnikov</t>
  </si>
  <si>
    <t>Primerjava porabe med leti</t>
  </si>
  <si>
    <t>Primerjava podobnih objektov med seboj</t>
  </si>
  <si>
    <t>Izdelavo poročil</t>
  </si>
  <si>
    <t>Avtomatsko generiranje poročil</t>
  </si>
  <si>
    <t>Dinamična določitev periode generiranja</t>
  </si>
  <si>
    <t>Izvajalec ob začetku izvajanja storitve izvede izobraževanje naročnika za pregled podatkov, možnosti pregledovanja analiz in možnosti generiranja poročil. Naročnik lahko tudi določi, katere analize in poročila je izvajalec vsak mesec dolžan pošiljati določenim osebam naročnika.</t>
  </si>
  <si>
    <t>ZAHTEVE NAROČNIKA GLEDE SISTEMA ENERGETSKEGA UPRAVLJANJA</t>
  </si>
  <si>
    <t>2. Koncesionar mora ukrepe v pogodbeni dobi  izvajati in vzdrževati skladno z veljavnimi predpisi in standardi.</t>
  </si>
  <si>
    <t>3. S svojimi ukrepi koncesionar ne sme znižati standarda (temperature v prostorih, prezračevanje), ki je predpisan v standardu SIST EN 12831 in Smernicami VDI 2067. Če ti pogoji pred ukrepi niso bili doseženi, je potrebno to upoštevati pri referenčnih količinah.</t>
  </si>
  <si>
    <t>4. S svojimi ukrepi koncesionar ne sme znižati standarda (osvetlitve), ki je predpisan v standardu SIST EN 12464-1:2011 Če ti pogoji pred izvedbo ukrepov niso bili doseženi, je potrebno to upoštevati pri referenčnih količinah.</t>
  </si>
  <si>
    <t>Pogodbeno zagotavljanje prihrankov - Ukrepi skupaj</t>
  </si>
  <si>
    <t>I.</t>
  </si>
  <si>
    <t>STROŠKI SKUPAJ</t>
  </si>
  <si>
    <t>SPLOŠNE ZAHTEVE KONCENDENTA GLEDE IZVEDBE UKREPOV</t>
  </si>
  <si>
    <t>ZAHTEVE KONCEDENTA GLEDE UPRAVLJANJA IN VZDRŽEVANJA</t>
  </si>
  <si>
    <t>7. Kjer so referenčne vrednosti rabe energije podane v energiji porabljenega goriva  in še ni uvedenih meritev, mora koncesionar do dogovorjenega roka po pogodbi (pripravljalna storitev) vgraditi merilne naprave.</t>
  </si>
  <si>
    <t>8. Koncesionar mora do začetka izvajanja glavne storitve vzpostaviti sistem energetskega upravljanja za vse objekte iz seznama stavb naročnika po zahtevah določenih v zavihku Energetsko upravljanje.</t>
  </si>
  <si>
    <t>zajamčeni prihranek vzdrževanja</t>
  </si>
  <si>
    <t>ZAJAMČENI
PRIHRANEK
SKUPAJ
€ brez DDV</t>
  </si>
  <si>
    <t>€ brez DDV</t>
  </si>
  <si>
    <t>Neto sedanja
vrednost
prihrankov
€  brez DDV</t>
  </si>
  <si>
    <t>ZP</t>
  </si>
  <si>
    <t>ELKO</t>
  </si>
  <si>
    <t>Naslov</t>
  </si>
  <si>
    <t>PROGRAM IZVAJANJA KONCESIJE</t>
  </si>
  <si>
    <t>Prezračevanje z rekuperacijo</t>
  </si>
  <si>
    <t>UNP</t>
  </si>
  <si>
    <t>SEZNAM OBJEKTOV</t>
  </si>
  <si>
    <t>Št.</t>
  </si>
  <si>
    <t>Naziv objekta</t>
  </si>
  <si>
    <t>Tip objekta</t>
  </si>
  <si>
    <t>VHODNI ENERGENTI:</t>
  </si>
  <si>
    <t>Referenčna vrednost ob menjavi energenta</t>
  </si>
  <si>
    <t>Vhodni energent</t>
  </si>
  <si>
    <t>Merska enota</t>
  </si>
  <si>
    <t>Kurilna vrednost</t>
  </si>
  <si>
    <t>Povprečna cena 
dovedene energije 
(EUR brez DDV)</t>
  </si>
  <si>
    <t>Ekstra lahko kurilno olje (ELKO)</t>
  </si>
  <si>
    <t>l (liter)</t>
  </si>
  <si>
    <t>kWh/l</t>
  </si>
  <si>
    <t>Zemeljski plin</t>
  </si>
  <si>
    <t>Utekočinjen naftni plin (UNP)</t>
  </si>
  <si>
    <t>kWh/kWh</t>
  </si>
  <si>
    <t>EE</t>
  </si>
  <si>
    <t>STANDARD UDOBJA V OBJEKTIH</t>
  </si>
  <si>
    <t>Minimalno ugodje v prostorih v času izvajanja ogrevanja (pozimi):</t>
  </si>
  <si>
    <t>Vrsta stavbe/prostora:</t>
  </si>
  <si>
    <t>Obremenjenost prostora  (oseb/m2)</t>
  </si>
  <si>
    <t>Notranja
temp. zraka
(°C)</t>
  </si>
  <si>
    <t>Toleranca* (°C)</t>
  </si>
  <si>
    <t>Relativna vlažnost zraka 
(%)</t>
  </si>
  <si>
    <t>Povprečna vzdrževana osvetljenost (lux)
EN 12464-1</t>
  </si>
  <si>
    <t>Opombe</t>
  </si>
  <si>
    <t>Vrtec - Igralnica II. starostno obdobje</t>
  </si>
  <si>
    <t>± 2</t>
  </si>
  <si>
    <t>40 - 60</t>
  </si>
  <si>
    <t>Vrtec - Igralnica I. starostno obdobje</t>
  </si>
  <si>
    <t>* 500 lux v predelu za nego</t>
  </si>
  <si>
    <t>Vrtec - Športna igralnica</t>
  </si>
  <si>
    <t>Vrtec - Umivalnica</t>
  </si>
  <si>
    <t>Osnovna šola - Učilnica</t>
  </si>
  <si>
    <t>Telovadnica, športna dvorana</t>
  </si>
  <si>
    <t>Garderobe šola, vrtec, šp. Dvorana</t>
  </si>
  <si>
    <t>Kopalnica</t>
  </si>
  <si>
    <t>Sanitarije</t>
  </si>
  <si>
    <t>Pisarne, upravni prostori</t>
  </si>
  <si>
    <t>Avla, avditorij, skupni prostori, hodniki, jedilnica</t>
  </si>
  <si>
    <t>Bazenski prostor</t>
  </si>
  <si>
    <t>25 - 28</t>
  </si>
  <si>
    <t>35 - 60</t>
  </si>
  <si>
    <t>Servisni prostori</t>
  </si>
  <si>
    <t>Minimalna temperatura sanitarne tople vode:</t>
  </si>
  <si>
    <t>Lokacija meritve</t>
  </si>
  <si>
    <t>Temperatura STV 
(°C)</t>
  </si>
  <si>
    <t>Na iztočnem mestu (pipa)</t>
  </si>
  <si>
    <t>*v vrtcih skladno s pravilnikom</t>
  </si>
  <si>
    <t>Vrednosti so smiselno povzete po pravilniku SIST EN 12831, Pravilnik o prezračevanju stavb (UL RS 42/2002) oziroma na podlagi izkušenj.</t>
  </si>
  <si>
    <t>Pravilnik o pitni vodi in Priporočila IVZ – NIJZ (Nacionalni inštitut za javno zdravje)</t>
  </si>
  <si>
    <t>Pravilnik o normativih in minimalnih tehničnih pogojih za prostor in opremo vrtca (UR RS 73/00, 75/05, 33/08, 126/08, 47/10, 47/13,74/16)</t>
  </si>
  <si>
    <t>*OPOMBA: Toleranca v - (navzdol) je dopustna samo v določenih delih dneva (jutranji zagoni, prezračevanje tekom dneva..) in ne sme presegati 15% obratovalnega časa dnevno.</t>
  </si>
  <si>
    <t>Meje odgovornosti koncesionarja za doseganje standardov udobja:</t>
  </si>
  <si>
    <t>Koncesionar je odgovoren za doseganje standardov udobja zgolj v obsegu, ki ga tehnično omogočajo ukrepi, ki jih je v okviru izvajanja koncesije izvedel koncesionar.</t>
  </si>
  <si>
    <t>Koncesionar ni dolžan zagotavljati doseganja predpisanega standarda osvetlitve, če s svojimi ukrepi ne posega v obstoječe sisteme notranje razsvetljave.</t>
  </si>
  <si>
    <t>Koncesionar ni odgovoren za nedoseganje predpisanih standardov udobja, v kolikor so odstopanja posledica  nezanesljive, nekvalitetne in nepravočasne dobave primarnih energentov s strani koncedenta oz. uporabnikov (npr. dobava biomase, ki ne dosega predpisanih standardov kvalitete določene s projekti Obratovanja in vzdrževanja).</t>
  </si>
  <si>
    <t>Koncesionar ni odgovoren za nedoseganje predpisanih standardov udobja, v kolikor so odstopanja posledica neizvajanja nujno potrebnih vzdrževalnih del na instalacijah, ki niso predmet vzdrževanja koncesionarja in jih je skladno z določenimi mejami projekta tudi nadalje dolžan izvajati koncedent (npr. menjava okvarjenih grelnih teles, radiatorjev, zamenjava dotrajane interne instalacije).</t>
  </si>
  <si>
    <t>Koncesionar ni odgovoren za nedoseganje predpisanih standardov udobja, v kolikor so odstopanja posledica prekinitev ali motene dobave s strani pooblaščenih operaterjev distribucijskih omrežij (električna energija, zemeljski plin, daljinsko ogrevanje).</t>
  </si>
  <si>
    <t>Dokazno breme obstoja ekskulpacijskih razlogov za zgoraj navedene meje odgovornosti koncesionarja je na strani koncesionarja.</t>
  </si>
  <si>
    <t xml:space="preserve">III. </t>
  </si>
  <si>
    <t>-       analizo rabe energije ter stroškov oskrbe z energijo,</t>
  </si>
  <si>
    <t>-       oceno možnih prihrankov energije in stroškov za oskrbo z energijo,</t>
  </si>
  <si>
    <t>-       določitev ukrepov za doseganje teh prihrankov ter oceno njihove izvedljivosti,</t>
  </si>
  <si>
    <t>-       izvedbo ukrepov za doseganje teh prihrankov,</t>
  </si>
  <si>
    <t>-       spremljanje rabe energije in stroškov za energijo, analizo, primerjavo doseganja rezultatov s pričakovanimi,</t>
  </si>
  <si>
    <t>-       ukrepanje ob negativnih odstopanjih.</t>
  </si>
  <si>
    <t>Energetsko knjigovodstvo, ki ga bo v okviru te pogodbe vzpostavil izvajalec pri naročniku in izvajalcu, mora omogočiti:</t>
  </si>
  <si>
    <t>Program mora omogočati spremljanje porabe in stroškov na letnem in mesečnem nivoju. Vnos podatkov mora zagotavljati izvajalec.</t>
  </si>
  <si>
    <t>Naročnik bo določil uporabnike in njihove pravice za pregledovanje podatkov. Vsak mesec bo do določenega dogovorjenega datuma v mesecu izvajalcu dostavil podatke iz računov za vzdrževanje objektov.</t>
  </si>
  <si>
    <t>Izvajalec je dolžan 1x letno  naročniku predstaviti rezultate analiz, izdelanih na osnovi energetskega knjigovodstva ter učinkov ukrepov po tej pogodbi v pogodbeno dogovorjenih rokih.</t>
  </si>
  <si>
    <t>II. PREDVIDENI UKREPI PO POSAMEZNIH OBJEKTIH</t>
  </si>
  <si>
    <t>Električna energija (za TČ)</t>
  </si>
  <si>
    <t>Referenčna letna raba in stroški energije, stroški vzdrževanja</t>
  </si>
  <si>
    <t>Vrsta energije</t>
  </si>
  <si>
    <t>Referenčna poraba/strošek</t>
  </si>
  <si>
    <t>Prilagojena referenčna poraba/strošek</t>
  </si>
  <si>
    <t>Referenčna poraba dovedene energije skupaj (kWh)</t>
  </si>
  <si>
    <t>Raba toplote skupaj (kWh)</t>
  </si>
  <si>
    <t xml:space="preserve"> - toplota za ogrevanje (kWh)</t>
  </si>
  <si>
    <t>Strošek toplote skupaj (€)</t>
  </si>
  <si>
    <t>Cena toplote (€/kWh)</t>
  </si>
  <si>
    <t>Referenčna raba električne energije skupaj (kWh)</t>
  </si>
  <si>
    <t xml:space="preserve"> - električna energija za razsvetljavo (kWh)</t>
  </si>
  <si>
    <t xml:space="preserve"> - električna energija za ostalo (kWh)</t>
  </si>
  <si>
    <t>Strošek električne energije skupaj (€)</t>
  </si>
  <si>
    <t>Cena električne energije (€/kWh)</t>
  </si>
  <si>
    <t>Strošek tekočega in investicijskega vzdrževanja (€)</t>
  </si>
  <si>
    <t xml:space="preserve">Seznam predvidenih ukrepov </t>
  </si>
  <si>
    <t>DDV (22%)</t>
  </si>
  <si>
    <t>Novopričakovana dejanska raba toplote v kWh:</t>
  </si>
  <si>
    <t>Zajamčeni dejanski prihranek toplote v kWh:</t>
  </si>
  <si>
    <t>Dodatni normalizirani prihranek toplote v kWh:</t>
  </si>
  <si>
    <t>Novopričakovan letni dejanski strošek toplote v € :</t>
  </si>
  <si>
    <t xml:space="preserve">Zajamčeni in normalizirani prihranek ter prihranek v ceni toplote v €: </t>
  </si>
  <si>
    <t>Zajamčeni in normalizirani prihranek toplote v %</t>
  </si>
  <si>
    <t>Cena električne energije v €/kWh:</t>
  </si>
  <si>
    <t>Zajamčeni prihranek električne energije v kWh:</t>
  </si>
  <si>
    <t>Dodatni normalizirani prihranek električne energije v kWh:</t>
  </si>
  <si>
    <t>Novopričakovan letni dejanski strošek električne energije v € :</t>
  </si>
  <si>
    <t xml:space="preserve">Zajamčeni in normalizirani prihranek ter prihranek v ceni el. energije v €: </t>
  </si>
  <si>
    <t>Zajamčeni in normalizirani prihranek električne energije v  %:</t>
  </si>
  <si>
    <t>Novopričakovani strošek tekočega in investicijskega vzdrževanja v €:</t>
  </si>
  <si>
    <t>Zajamčeni prihranek stroškov tekočega in investicijskega vzdrževanja v €:</t>
  </si>
  <si>
    <t>Zajamčeni prihranek stroškov tekočega in investicijskega vzdrževanja v %:</t>
  </si>
  <si>
    <t>ZAJAMČENI LETNI PRIHRANEK SKUPAJ v €</t>
  </si>
  <si>
    <t>Predvidena struktura proizvodnje toplote iz posameznega energenta po izvedenih ukrepih:</t>
  </si>
  <si>
    <t>Delež skupaj proizvedene toplote iz energenta</t>
  </si>
  <si>
    <t>Količina toplote (kWh)</t>
  </si>
  <si>
    <t>Količina dovedene energije (kWh)</t>
  </si>
  <si>
    <t>Daljinsko ogrevanje / Pogodbena oskrba z energijo</t>
  </si>
  <si>
    <t>Izhodišča za normalizacijo ukrepov</t>
  </si>
  <si>
    <t>Ocenjene obratovalne ure naprav</t>
  </si>
  <si>
    <t>Normalizirane obratovalne ure naprav</t>
  </si>
  <si>
    <t>Vgradnja varčne razsvetljave</t>
  </si>
  <si>
    <t>CENE ENERGENTOV OB MENJAVI VHODNEGA ENERGENTA</t>
  </si>
  <si>
    <t>OSNOVNI PODATKI O OBJEKTU</t>
  </si>
  <si>
    <t>ime objekta</t>
  </si>
  <si>
    <t>naslov</t>
  </si>
  <si>
    <t>namembnost objekta</t>
  </si>
  <si>
    <t>celotna kvadratura [m2]</t>
  </si>
  <si>
    <t>ogrevana kvadratura [m2]</t>
  </si>
  <si>
    <t>hlajena kvadratura [m2]</t>
  </si>
  <si>
    <t>število etaž</t>
  </si>
  <si>
    <t>višina etaže [m]</t>
  </si>
  <si>
    <t>prostornina [m3]</t>
  </si>
  <si>
    <t>leto izgradnje</t>
  </si>
  <si>
    <t xml:space="preserve">leto obnove </t>
  </si>
  <si>
    <t>specifična raba toplote
[kWh/m2]</t>
  </si>
  <si>
    <t>specifična raba elektrike
[kWh/m2]</t>
  </si>
  <si>
    <t>raba energenta [litri, kWh]</t>
  </si>
  <si>
    <t>enota</t>
  </si>
  <si>
    <t>kurilnost 
[kWh / enoto]</t>
  </si>
  <si>
    <t>dovedena energija s prilagoditvami [kWh]</t>
  </si>
  <si>
    <t>raba toplote s prilagoditvami [kWh] 
(koristna en.)</t>
  </si>
  <si>
    <t>raba toplote za ogrevanje
[kWh]</t>
  </si>
  <si>
    <t>raba toplote za STV
[kWh]</t>
  </si>
  <si>
    <t>raba toplote za mehansko prezračevanje
[kWh]</t>
  </si>
  <si>
    <t>raba električne energije [kWh]</t>
  </si>
  <si>
    <t>referenčna cena električne energije [€/kWh]</t>
  </si>
  <si>
    <t>prilagoditev rabe električne energije
[kWh]</t>
  </si>
  <si>
    <t>prilagojena raba električne energije
[kWh]</t>
  </si>
  <si>
    <t>prilagojen letni strošek električne energije
[€ brez DDV]</t>
  </si>
  <si>
    <t>raba električne energije za razsvetljavo 
[kWh]</t>
  </si>
  <si>
    <t>raba električne energije za ostalo
[kWh]</t>
  </si>
  <si>
    <t>SKUPAJ STROŠEK ENERGENTOV
[€ brez DDV]</t>
  </si>
  <si>
    <t>SKUPAJ VSI STROŠKI 
[€ brez DDV]</t>
  </si>
  <si>
    <t>cena toplote  s prilagoditvami
[€/kWh]</t>
  </si>
  <si>
    <t xml:space="preserve">cena toplote brez DDV [€/kWh] </t>
  </si>
  <si>
    <t>prilagojen letni strošek toplote
[€ brez DDV]</t>
  </si>
  <si>
    <t>dovedena energija 
[kWh]</t>
  </si>
  <si>
    <t>raba toplote brez prilagoditev
(koristna en.)
[kWh]</t>
  </si>
  <si>
    <t>strošek električne energije 
[€ brez DDV]</t>
  </si>
  <si>
    <t>STROŠEK TEKOČEGA  IN INVESTICIJSKEGA VZDRŽEVANJA ENERGETSKIH NAPRAV 
[€ brez DDV]</t>
  </si>
  <si>
    <t>PODATKI O OBJEKTIH</t>
  </si>
  <si>
    <t>REFERENČNE KOLIČINE</t>
  </si>
  <si>
    <t>CENE ENERGENTOV</t>
  </si>
  <si>
    <t>STANDARD UDOBJA</t>
  </si>
  <si>
    <t>OBRAZCI ZA VNOS UKREPOV IN PRIHRANKOV (PO OBJEKTIH IN SKUPNO)</t>
  </si>
  <si>
    <t>VZORCI OBRAČUNOV</t>
  </si>
  <si>
    <t>Biomasa</t>
  </si>
  <si>
    <t>Sprejemniki sončne energije (kolektorji)</t>
  </si>
  <si>
    <t>12. Koncedent ima pravico kadarkoli izvajati nadzor nad pripravljalnimi deli koncesionarja.</t>
  </si>
  <si>
    <t>po projektu</t>
  </si>
  <si>
    <t>+2°C nad temp. bazenske vode</t>
  </si>
  <si>
    <t>Bazen - garderobe</t>
  </si>
  <si>
    <t>Osvetljenost notranjih prostorov - standard SIST EN 12464-1:2011.</t>
  </si>
  <si>
    <t>STANDARD UDOBJA - OSVETLJENOST PROSTOROV</t>
  </si>
  <si>
    <t>*Opomba: Povzetek standarda SIST EN 12464-1:2011</t>
  </si>
  <si>
    <t>* 500 lux šolske table</t>
  </si>
  <si>
    <r>
      <t>Max. koncentracija CO</t>
    </r>
    <r>
      <rPr>
        <b/>
        <vertAlign val="subscript"/>
        <sz val="11"/>
        <color theme="0"/>
        <rFont val="Times New Roman"/>
        <family val="1"/>
        <charset val="238"/>
      </rPr>
      <t xml:space="preserve">2 </t>
    </r>
    <r>
      <rPr>
        <b/>
        <sz val="11"/>
        <color theme="0"/>
        <rFont val="Times New Roman"/>
        <family val="1"/>
        <charset val="238"/>
      </rPr>
      <t xml:space="preserve"> 
(ppm)</t>
    </r>
  </si>
  <si>
    <r>
      <t>Količina svežega zraka v primeru mehanskega prezračevanja (m</t>
    </r>
    <r>
      <rPr>
        <b/>
        <vertAlign val="superscript"/>
        <sz val="11"/>
        <color theme="0"/>
        <rFont val="Times New Roman"/>
        <family val="1"/>
        <charset val="238"/>
      </rPr>
      <t>3</t>
    </r>
    <r>
      <rPr>
        <b/>
        <sz val="11"/>
        <color theme="0"/>
        <rFont val="Times New Roman"/>
        <family val="1"/>
        <charset val="238"/>
      </rPr>
      <t>/h m</t>
    </r>
    <r>
      <rPr>
        <b/>
        <vertAlign val="superscript"/>
        <sz val="11"/>
        <color theme="0"/>
        <rFont val="Times New Roman"/>
        <family val="1"/>
        <charset val="238"/>
      </rPr>
      <t>2</t>
    </r>
    <r>
      <rPr>
        <b/>
        <sz val="11"/>
        <color theme="0"/>
        <rFont val="Times New Roman"/>
        <family val="1"/>
        <charset val="238"/>
      </rPr>
      <t>)</t>
    </r>
  </si>
  <si>
    <r>
      <t>Koncesionar ni dolžan zagotavljati doseganje predpisanega standarda prezračevanja (CO</t>
    </r>
    <r>
      <rPr>
        <vertAlign val="subscript"/>
        <sz val="11"/>
        <color theme="1"/>
        <rFont val="Times New Roman"/>
        <family val="1"/>
        <charset val="238"/>
      </rPr>
      <t>2</t>
    </r>
    <r>
      <rPr>
        <sz val="11"/>
        <color theme="1"/>
        <rFont val="Times New Roman"/>
        <family val="1"/>
        <charset val="238"/>
      </rPr>
      <t>, izmenjeva svežega zraka), če objekti nimajo vgrajenih sistemov prisilnih prezračevanj oz. le-ti niso predmet ukrepov energetske sanacije objektov koncedenta.</t>
    </r>
  </si>
  <si>
    <t>Koncesionar ni odgovoren za nedoseganje predpisanih standardov udobja, v kolikor so odstopanja posledica nevestnega ravnanja uporabnikov objekta. Koncesionar je dolžan predhodno podati opozorilo uporabnikom objekta.</t>
  </si>
  <si>
    <t>Vrsta prostora, namena ali aktivnosti</t>
  </si>
  <si>
    <r>
      <rPr>
        <b/>
        <i/>
        <sz val="11"/>
        <color theme="0"/>
        <rFont val="Times New Roman"/>
        <family val="1"/>
        <charset val="238"/>
      </rPr>
      <t>Em</t>
    </r>
    <r>
      <rPr>
        <b/>
        <sz val="11"/>
        <color theme="0"/>
        <rFont val="Times New Roman"/>
        <family val="1"/>
        <charset val="238"/>
      </rPr>
      <t xml:space="preserve">
lx</t>
    </r>
  </si>
  <si>
    <r>
      <rPr>
        <b/>
        <i/>
        <sz val="11"/>
        <color theme="0"/>
        <rFont val="Times New Roman"/>
        <family val="1"/>
        <charset val="238"/>
      </rPr>
      <t>UGR</t>
    </r>
    <r>
      <rPr>
        <b/>
        <i/>
        <vertAlign val="subscript"/>
        <sz val="11"/>
        <color theme="0"/>
        <rFont val="Times New Roman"/>
        <family val="1"/>
        <charset val="238"/>
      </rPr>
      <t>L</t>
    </r>
    <r>
      <rPr>
        <b/>
        <sz val="11"/>
        <color theme="0"/>
        <rFont val="Times New Roman"/>
        <family val="1"/>
        <charset val="238"/>
      </rPr>
      <t xml:space="preserve">
-</t>
    </r>
  </si>
  <si>
    <r>
      <rPr>
        <b/>
        <i/>
        <sz val="11"/>
        <color theme="0"/>
        <rFont val="Times New Roman"/>
        <family val="1"/>
        <charset val="238"/>
      </rPr>
      <t>U</t>
    </r>
    <r>
      <rPr>
        <b/>
        <i/>
        <vertAlign val="subscript"/>
        <sz val="11"/>
        <color theme="0"/>
        <rFont val="Times New Roman"/>
        <family val="1"/>
        <charset val="238"/>
      </rPr>
      <t>0</t>
    </r>
    <r>
      <rPr>
        <b/>
        <sz val="11"/>
        <color theme="0"/>
        <rFont val="Times New Roman"/>
        <family val="1"/>
        <charset val="238"/>
      </rPr>
      <t xml:space="preserve">
-</t>
    </r>
  </si>
  <si>
    <r>
      <rPr>
        <b/>
        <i/>
        <sz val="11"/>
        <color theme="0"/>
        <rFont val="Times New Roman"/>
        <family val="1"/>
        <charset val="238"/>
      </rPr>
      <t>R</t>
    </r>
    <r>
      <rPr>
        <b/>
        <i/>
        <vertAlign val="subscript"/>
        <sz val="11"/>
        <color theme="0"/>
        <rFont val="Times New Roman"/>
        <family val="1"/>
        <charset val="238"/>
      </rPr>
      <t>e</t>
    </r>
    <r>
      <rPr>
        <b/>
        <sz val="11"/>
        <color theme="0"/>
        <rFont val="Times New Roman"/>
        <family val="1"/>
        <charset val="238"/>
      </rPr>
      <t xml:space="preserve">
-</t>
    </r>
  </si>
  <si>
    <t>ŠOLSKI OBJEKTI</t>
  </si>
  <si>
    <t>Učilnice, predavalnice</t>
  </si>
  <si>
    <t>Laboratoriji, delavnice</t>
  </si>
  <si>
    <t>Večje predavalnice, dvorane</t>
  </si>
  <si>
    <t>Šolske table (črne, zelene, bele)</t>
  </si>
  <si>
    <t>Vhodi, vetrolovi, avle</t>
  </si>
  <si>
    <t>Hodniki</t>
  </si>
  <si>
    <t>Prostori za učitelje, zbornice</t>
  </si>
  <si>
    <t>Knjižnice - knjižne police</t>
  </si>
  <si>
    <t>Knjižnice - čitalnice</t>
  </si>
  <si>
    <t>Skladiščni prostori za šolske pripomočke</t>
  </si>
  <si>
    <t>Šolske športne dvorane, bazeni</t>
  </si>
  <si>
    <t>Jedilnice</t>
  </si>
  <si>
    <t>Kuhinje</t>
  </si>
  <si>
    <t>VRTCI</t>
  </si>
  <si>
    <t>Igralnice</t>
  </si>
  <si>
    <t>Jasli</t>
  </si>
  <si>
    <t>Previjalnice</t>
  </si>
  <si>
    <t xml:space="preserve"> UKREPI ZAHTEVANI S STRANI KONCEDENTA ZA ZAGOTAVLJANJE PRIHRANKA</t>
  </si>
  <si>
    <t>5. Ker standard v prostorih ni natančno popisan, mora koncesionar po podpisu pogodbe v prvi ogrevalni sezoni v prostorih popisati standarde (temperature, prezračevanja, osvetlitve).</t>
  </si>
  <si>
    <t>6. Koncesionar po podpisu pogodbe do začetka izvajanja glavne storitve zbrati in preveriti podatke iz razširjenih energetskih pregledov, ki so potrebni za ugotavljanje morebitnih sprememb uporabe objektov (število uporabnikov, urniki, porabniki energije).</t>
  </si>
  <si>
    <t>9. Po dokončanju pripravljalne storitve mora koncesionar koncedentu predati naslednjo dokumentacijo:</t>
  </si>
  <si>
    <t>-   Poročila o morebitnih meritvah</t>
  </si>
  <si>
    <t>-   Projekte izvedenih del in projekte za obratovanje in vzdrževanje.</t>
  </si>
  <si>
    <t>10. Koncesionar mora zagotoviti izobraževanje koncedenta, upravljavca in uporabnikov.</t>
  </si>
  <si>
    <t>11. Izvedbo vsakega ukrepa v objektu mora koncesionar terminsko uskladiti z upravljavcem objekta.</t>
  </si>
  <si>
    <t>OB001</t>
  </si>
  <si>
    <t>OB002</t>
  </si>
  <si>
    <t>OB003</t>
  </si>
  <si>
    <t>OB004</t>
  </si>
  <si>
    <t>OB005</t>
  </si>
  <si>
    <t>OB006</t>
  </si>
  <si>
    <t>ENERGENT 1</t>
  </si>
  <si>
    <t>ENERGENT 2</t>
  </si>
  <si>
    <t>ENERGENT 3</t>
  </si>
  <si>
    <t>skupaj dovedena energija 
[kWh]</t>
  </si>
  <si>
    <t xml:space="preserve">
ENERGENT 1
vrsta energenta</t>
  </si>
  <si>
    <t xml:space="preserve">
ENERGENT 2
vrsta energenta</t>
  </si>
  <si>
    <t xml:space="preserve">
ENERGENT 3
vrsta energenta</t>
  </si>
  <si>
    <t>strošek energenta [€ brez DDV]</t>
  </si>
  <si>
    <t>skupaj strošek toplote 
[€ brez DDV]</t>
  </si>
  <si>
    <t>Izkoristek ogrevalnega sistema 1
[%]</t>
  </si>
  <si>
    <t>Izkoristek ogrevalnega sistema 2
[%]</t>
  </si>
  <si>
    <t>Izkoristek ogrevalnega sistema 3
[%]</t>
  </si>
  <si>
    <t>ELEKTRIČNA ENERGIJA ZA DELOVANJE OBJEKTA</t>
  </si>
  <si>
    <t xml:space="preserve">Tip energenta 1: </t>
  </si>
  <si>
    <t xml:space="preserve">Tip energenta 2: </t>
  </si>
  <si>
    <t xml:space="preserve">Tip energenta 3: </t>
  </si>
  <si>
    <t>Cena dovedene energije (€/kWh)</t>
  </si>
  <si>
    <t>Skupaj stroški</t>
  </si>
  <si>
    <t xml:space="preserve">Ukrepi JZP
Upravičeni stroški </t>
  </si>
  <si>
    <t>Ukrepi JZP
Neupravičeni stroški</t>
  </si>
  <si>
    <t>Ukrepi JN
Neupravičeni stroški</t>
  </si>
  <si>
    <t>Ukrepi JN
Upravičeni stroški</t>
  </si>
  <si>
    <t>Investicijska vrednost ukrepov JZP brez DDV</t>
  </si>
  <si>
    <t>Skupna investicijska vrednost JZP z DDV</t>
  </si>
  <si>
    <t>Novopričakovana dejanska raba dovedene energije v kWh</t>
  </si>
  <si>
    <t>Zajamčeni dejanski prihranek dovedene energije v kWh:</t>
  </si>
  <si>
    <t>Novopričakovana letna raba in prihranki - toplota</t>
  </si>
  <si>
    <t>Nova cena toplote v €/kWh:</t>
  </si>
  <si>
    <t>prilagojena raba toplote za ogrevanje
[kWh]</t>
  </si>
  <si>
    <t>prilagojena raba toplote za STV
[kWh]</t>
  </si>
  <si>
    <t>prilagojena raba toplote za mehansko prezračevanje
[kWh]</t>
  </si>
  <si>
    <t>prilagoditev rabe toplote skupaj (npr. dvig udobja)
[kWh]</t>
  </si>
  <si>
    <t>prilagojena raba električne energije za razsvetljavo 
[kWh]</t>
  </si>
  <si>
    <t>prilagojena raba električne energije za ostalo
[kWh]</t>
  </si>
  <si>
    <t xml:space="preserve"> - toplota za mehansko prezračevanje (kWh)</t>
  </si>
  <si>
    <t xml:space="preserve"> - toplota za toplo sanitarno vodo (kWh)</t>
  </si>
  <si>
    <t>Vir dovedene energije za toploto</t>
  </si>
  <si>
    <t>Utekočinjeni naftni plin</t>
  </si>
  <si>
    <t>Ekstra lahko kurilno olje</t>
  </si>
  <si>
    <t>El. energija za toplotne črpalke</t>
  </si>
  <si>
    <t>Vrednost investicijskih ukrepov JZP v
€ brez DDV</t>
  </si>
  <si>
    <t>OBRAČUN PRIHRANKOV NA OBJEKTU</t>
  </si>
  <si>
    <t>Sklop:</t>
  </si>
  <si>
    <t>ID OBJEKTA</t>
  </si>
  <si>
    <t>OBRAČUNSKO OBDOBJE</t>
  </si>
  <si>
    <t>PROJEKT</t>
  </si>
  <si>
    <t>NAZIV OBJEKTA</t>
  </si>
  <si>
    <t>STATUS OBRAČUNA</t>
  </si>
  <si>
    <t>NAROČNIK</t>
  </si>
  <si>
    <t>NASLOV</t>
  </si>
  <si>
    <t xml:space="preserve"> </t>
  </si>
  <si>
    <t>POGODBA</t>
  </si>
  <si>
    <t>REKAPITULACIJA</t>
  </si>
  <si>
    <t>POGODBENE VREDNOSTI ZA REFERENČNO OBDOBJE</t>
  </si>
  <si>
    <t>IZHODIŠČNE VREDNOSTI ZA OBRAČUNSKO OBDOBJE</t>
  </si>
  <si>
    <t>OBRAČUNSKE VREDNOSTI V OBRAČUNSKEM OBDOBJU</t>
  </si>
  <si>
    <t>RAZLIKA MED DOSEŽENIM IN ZAJAMČENIM PRIHRANKOM V OBRAČUNSKEM OBDOBJU</t>
  </si>
  <si>
    <t>ZAJAMČENI PRIHRANEK</t>
  </si>
  <si>
    <t>DOSEŽENI PRIHRANEK</t>
  </si>
  <si>
    <t>PRIHRANEK</t>
  </si>
  <si>
    <t>bonus/malus</t>
  </si>
  <si>
    <t>ELEKTRIKA</t>
  </si>
  <si>
    <t>VZDRŽEVANJE</t>
  </si>
  <si>
    <t>I. TOPLOTA</t>
  </si>
  <si>
    <t>Referenčno obdobje:</t>
  </si>
  <si>
    <t>Izhodiščno obračunsko obdobje:</t>
  </si>
  <si>
    <t>Dejansko obračunsko obdobje</t>
  </si>
  <si>
    <t>Podnebna postaja:</t>
  </si>
  <si>
    <t>Izhodiščni DTP v primerljivem ref. obdobju</t>
  </si>
  <si>
    <t>Izhodiščni DTP v obračunskem obdobju</t>
  </si>
  <si>
    <t>Pogodbeni DTP v ref. obdobju:</t>
  </si>
  <si>
    <t>Razmerje DTP primerljivo/ pogododbeno obdobje</t>
  </si>
  <si>
    <t>Faktor DTP za obdobje</t>
  </si>
  <si>
    <t>POGODBENE REFERENCE</t>
  </si>
  <si>
    <t>A. POGODBENE VREDNOSTI ZA REFERENČNO OBDOBJE</t>
  </si>
  <si>
    <t>Metoda izračuna prihrankov</t>
  </si>
  <si>
    <t>Vrsta rabe toplote</t>
  </si>
  <si>
    <t>Referenčna raba toplote (prilagojena)</t>
  </si>
  <si>
    <t>Referenčna cena toplote</t>
  </si>
  <si>
    <t>Referenčna dovedena energija (prilagojena)</t>
  </si>
  <si>
    <t>Cena dovedene energije</t>
  </si>
  <si>
    <t>Referenčni strošek dovedene energije za toploto</t>
  </si>
  <si>
    <t>Novopričakovana raba dovedene energije</t>
  </si>
  <si>
    <t>UTEKOČINJENI NAFTNI PLIN</t>
  </si>
  <si>
    <t>EKSTRA LAHKO KURILNO OLJE</t>
  </si>
  <si>
    <t>BIOMASA</t>
  </si>
  <si>
    <t>ZEMELJSKI PLIN</t>
  </si>
  <si>
    <t>DALJINSKO OGREVANJE</t>
  </si>
  <si>
    <t>raba dovedene energije</t>
  </si>
  <si>
    <t xml:space="preserve">referenčna cena </t>
  </si>
  <si>
    <t>referenčna cena</t>
  </si>
  <si>
    <t xml:space="preserve">€/kWh </t>
  </si>
  <si>
    <t>Merjeni</t>
  </si>
  <si>
    <t>OGREVANJE</t>
  </si>
  <si>
    <t>SANITARNA TOPLA VODA</t>
  </si>
  <si>
    <t>Normirani</t>
  </si>
  <si>
    <t>OSTALO - PRISILNO PREZRAČEVANJE</t>
  </si>
  <si>
    <t>Zajamčeni prihranki</t>
  </si>
  <si>
    <t>nova cena toplote</t>
  </si>
  <si>
    <t>novopričakovana dejanska raba toplote (izhodiščne vrednosti)</t>
  </si>
  <si>
    <t>nova cena dovedene energije</t>
  </si>
  <si>
    <t>novopričakovana dejanska raba dovedene energije</t>
  </si>
  <si>
    <t>nov strošek dovedene energije</t>
  </si>
  <si>
    <t>dejanski merjeni prihranek toplote</t>
  </si>
  <si>
    <t>dejanski normirani prihranek toplote</t>
  </si>
  <si>
    <t>dodatni normirani prihranek toplote</t>
  </si>
  <si>
    <t>dejanski merjeni prihranek dovedene energije</t>
  </si>
  <si>
    <t>dejanski normirani prihranek dovedene energije</t>
  </si>
  <si>
    <t>dodatni normirani prihranek dovedene energije</t>
  </si>
  <si>
    <t>dejanski merjeni prihranek</t>
  </si>
  <si>
    <t>dejanski normirani prihranek</t>
  </si>
  <si>
    <t>dodatni normirani prihranek</t>
  </si>
  <si>
    <t>Skupaj zajamčeni prihranki</t>
  </si>
  <si>
    <t>OBRAČUNSKE REFERENCE</t>
  </si>
  <si>
    <t>B. IZHODIŠČNE VREDNOSTI ZA OBRAČUNSKO OBDOBJE</t>
  </si>
  <si>
    <t>Način izračuna prihrankov</t>
  </si>
  <si>
    <t>Korekcijski faktor za obračunsko obdobje</t>
  </si>
  <si>
    <t>Skupaj zajamčeni prihranki toplota</t>
  </si>
  <si>
    <t>OBRAČUNSKE VREDNOSTI</t>
  </si>
  <si>
    <t>C. OBRAČUN V OBRAČUNSKEM OBDOBJU</t>
  </si>
  <si>
    <t>DEJANSKA NEPRILAGOJENA RABA DOVEDENE ENERGIJE</t>
  </si>
  <si>
    <t>PRILAGODITVE RABE ENERGIJE</t>
  </si>
  <si>
    <t>PRILAGOJENA RABA DOVEDENE ENERGIJE IN STROŠKI</t>
  </si>
  <si>
    <t>ELEKTRIČNA ENERGIJA ZA PRETVORBO</t>
  </si>
  <si>
    <t>faktor DTP</t>
  </si>
  <si>
    <t>faktor upor.*
udobje</t>
  </si>
  <si>
    <t>faktor upor.*
št. uporabnikov</t>
  </si>
  <si>
    <t>skupni faktor prilagoditve</t>
  </si>
  <si>
    <t>SKUPAJ RABA</t>
  </si>
  <si>
    <t>SKUPAJ STROŠEK (ref. cene)</t>
  </si>
  <si>
    <t>MERITEV RABE
OGREVANJE</t>
  </si>
  <si>
    <t>MERITEV RABE
SANITARNA TOPLA VODA</t>
  </si>
  <si>
    <t>MERITEV RABE
OSTALO - PRISILNO PREZRAČEVANJE</t>
  </si>
  <si>
    <t>SKUPNA MERITEV RABE</t>
  </si>
  <si>
    <t>SKUPAJ VSE MERITVE</t>
  </si>
  <si>
    <t>OSNOVA ZA OBRAČUN</t>
  </si>
  <si>
    <t>IZRAČUN DOSEGANJA PRIHRANKOV V OBRAČUNSKEM OBDOBJU</t>
  </si>
  <si>
    <t>SKUPAJ DEJANSKI PRIHRANKI TOPLOTA V OBRAČUNSKEM OBDOBJU</t>
  </si>
  <si>
    <t>PRILAGOJENA RABA DOVEDENE ENERGIJE</t>
  </si>
  <si>
    <t>PRILAGOJEN STROŠEK DOVEDENE ENERGIJE</t>
  </si>
  <si>
    <t>CENA DOVEDENE ENERGIJE</t>
  </si>
  <si>
    <t>II. ELEKTRIKA</t>
  </si>
  <si>
    <t>Vrsta rabe elektrike</t>
  </si>
  <si>
    <t>Referenčna raba elektrike (prilagojena)</t>
  </si>
  <si>
    <t>Referenčna cena elektrike</t>
  </si>
  <si>
    <t>Referenčni strošek elektrike</t>
  </si>
  <si>
    <t>Novopričakovana raba elektrike</t>
  </si>
  <si>
    <t>novopričakovana dejanska raba elektrike</t>
  </si>
  <si>
    <t>nova cena elektrike</t>
  </si>
  <si>
    <t>nov strošek elektrike</t>
  </si>
  <si>
    <t>dejanski merjeni prihranek elektrike</t>
  </si>
  <si>
    <t>dejanski normirani prihranek elektrike</t>
  </si>
  <si>
    <t>Razsvetljava</t>
  </si>
  <si>
    <t>DA</t>
  </si>
  <si>
    <t>Ostalo</t>
  </si>
  <si>
    <t>NE</t>
  </si>
  <si>
    <t xml:space="preserve">dodatni normirani prihranek elektrike </t>
  </si>
  <si>
    <t>DEJANSKA NEPRILAGOJENA RABA ELEKTRIKE</t>
  </si>
  <si>
    <t>PRILAGODITEV RABE</t>
  </si>
  <si>
    <t>SKUPAJ DEJANSKI PRIHRANKI  ELEKTRIKE V OBRAČUNSKEM OBDOBJU</t>
  </si>
  <si>
    <t>skupaj merilna mesta</t>
  </si>
  <si>
    <t>porabniki, ki niso raba objekta</t>
  </si>
  <si>
    <t xml:space="preserve">SKUPAJ NEPRILAGOJENA RABA </t>
  </si>
  <si>
    <t>Faktor prilagoditve rabe</t>
  </si>
  <si>
    <t>SKUPAJ PRILAGOJENA RABA ELEKTRIKE</t>
  </si>
  <si>
    <t>SKUPAJ STROŠEK</t>
  </si>
  <si>
    <t>PRILAGOJENA RABA ELEKTRIKE</t>
  </si>
  <si>
    <t>PRILAGOJEN STROŠEK ELEKTRIKE</t>
  </si>
  <si>
    <t>dodatni normirani prihranek elektrike</t>
  </si>
  <si>
    <t>III. VZDRŽEVANJE</t>
  </si>
  <si>
    <t>Vrsta stroška</t>
  </si>
  <si>
    <t>Referenčni strošek vzdrževanja</t>
  </si>
  <si>
    <t>novi strošek vzdrževanja</t>
  </si>
  <si>
    <t>doseženi  prihranek vzdrževanja</t>
  </si>
  <si>
    <t>Vzdrževanje</t>
  </si>
  <si>
    <t>V sklopu predmetne ponudbe ponudnik ne nudi dobave energentov.</t>
  </si>
  <si>
    <t>Opomba: Ponudnik vpiše predvidene cene energentov po sanaciji v primeru menjave energentov na objektu.
V sklopu predmetne ponudbe ne nudi dobave energentov.</t>
  </si>
  <si>
    <r>
      <t>PRIHRANKI</t>
    </r>
    <r>
      <rPr>
        <b/>
        <sz val="10"/>
        <color rgb="FF000000"/>
        <rFont val="Arial"/>
        <family val="2"/>
        <charset val="238"/>
      </rPr>
      <t xml:space="preserve"> JZP</t>
    </r>
  </si>
  <si>
    <t>Zajamčeni prihranki toplote</t>
  </si>
  <si>
    <t>Zajamčeni prihranki elektrike</t>
  </si>
  <si>
    <t>Zajamčeni prihranki vzdrževanja</t>
  </si>
  <si>
    <t>Zajamčeni prihranki skupaj</t>
  </si>
  <si>
    <t>Delitev zajamčenih prihrankov zasebni / javni partner</t>
  </si>
  <si>
    <t>znesek</t>
  </si>
  <si>
    <t>delež</t>
  </si>
  <si>
    <t>Skupni zajamčeni prihranki</t>
  </si>
  <si>
    <t>Delež zasebnega partnerja</t>
  </si>
  <si>
    <t>Delež javnega partnerja</t>
  </si>
  <si>
    <t>Ukrepi so razvidni iz tehničnega opisa ukrepov.</t>
  </si>
  <si>
    <t>Ljubljana,</t>
  </si>
  <si>
    <t>KVALIFIKACIJSKA PONUDBA</t>
  </si>
  <si>
    <t xml:space="preserve">
PODELITEV KONCESIJE ZA IZVEDBO PROJEKTA ENERGETSKEGA POGODBENIŠTVA ZA ENERGETSKO PRENOVO OBJEKTOV V LASTI OBČINE BREZOVICA</t>
  </si>
  <si>
    <t>POŠ Rakitna</t>
  </si>
  <si>
    <t>Vrtec Vnanje Gorice</t>
  </si>
  <si>
    <t>Zadružni dom Vnanje Gorice</t>
  </si>
  <si>
    <t>Zdravstveni dom</t>
  </si>
  <si>
    <t>izhodiščna povprečna cena 2017-2019</t>
  </si>
  <si>
    <t>povprečna cena ob upoštevanju povečane rabe električne energije za TČ</t>
  </si>
  <si>
    <t>Rakitna 54, 
1352 Preserje</t>
  </si>
  <si>
    <t>šola, vrtec</t>
  </si>
  <si>
    <t>Nova pot 9
1351 Brezovica pri Ljubljani</t>
  </si>
  <si>
    <t>vrtec</t>
  </si>
  <si>
    <t>Zdravstveni dom Podpeč</t>
  </si>
  <si>
    <t>Jezero 1, 
1352 Preserje</t>
  </si>
  <si>
    <t>zdravstveni dom</t>
  </si>
  <si>
    <t>Nova pot 5
1351 Brezovica pri Ljubljani</t>
  </si>
  <si>
    <t xml:space="preserve">kulturni dom </t>
  </si>
  <si>
    <t>L</t>
  </si>
  <si>
    <t/>
  </si>
  <si>
    <t>m3</t>
  </si>
  <si>
    <t>-</t>
  </si>
  <si>
    <t>Energetsko upravljanje objekta</t>
  </si>
  <si>
    <t>Prenova razdelilnika ter pripravo sanitarne vode 1</t>
  </si>
  <si>
    <t>Termostatski ventili</t>
  </si>
  <si>
    <t>Prenova ogrevalnega sistema TČ zrak/voda 
(75% pokrivanje)</t>
  </si>
  <si>
    <t>Prenova razsvetljave</t>
  </si>
  <si>
    <t>Prenova ogrevalnega sistema TČ zrak/voda 
(74% pokrivanje)</t>
  </si>
  <si>
    <t>Izolacija fasade (izvedba preko JN)</t>
  </si>
  <si>
    <t>Menjava stavbnega pohištva (izvedba preko JN)</t>
  </si>
  <si>
    <t>Izolacija stropa proti podstrešju (izvedba preko JN)</t>
  </si>
  <si>
    <t>Ureditev zamakanja kleti (izvedba preko JN)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</si>
</sst>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5" formatCode="#,##0\ &quot;€&quot;;\-#,##0\ &quot;€&quot;"/>
    <numFmt numFmtId="7" formatCode="#,##0.00\ &quot;€&quot;;\-#,##0.00\ &quot;€&quot;"/>
    <numFmt numFmtId="44" formatCode="_-* #,##0.00\ &quot;€&quot;_-;\-* #,##0.00\ &quot;€&quot;_-;_-* &quot;-&quot;??\ &quot;€&quot;_-;_-@_-"/>
    <numFmt numFmtId="164" formatCode="_-* #,##0.00\ _€_-;\-* #,##0.00\ _€_-;_-* &quot;-&quot;??\ _€_-;_-@_-"/>
    <numFmt numFmtId="165" formatCode="#,##0.00\ &quot;€&quot;"/>
    <numFmt numFmtId="166" formatCode="_(&quot;€&quot;* #,##0.00_);_(&quot;€&quot;* \(#,##0.00\);_(&quot;€&quot;* &quot;-&quot;??_);_(@_)"/>
    <numFmt numFmtId="167" formatCode="0.0"/>
    <numFmt numFmtId="168" formatCode="_-* #,##0\ _€_-;\-* #,##0\ _€_-;_-* &quot;-&quot;??\ _€_-;_-@_-"/>
    <numFmt numFmtId="169" formatCode="_-* #,##0.00000\ _€_-;\-* #,##0.00000\ _€_-;_-* &quot;-&quot;??\ _€_-;_-@_-"/>
    <numFmt numFmtId="170" formatCode="_-* #,##0.0000\ _€_-;\-* #,##0.0000\ _€_-;_-* &quot;-&quot;??\ _€_-;_-@_-"/>
    <numFmt numFmtId="171" formatCode="#,##0\ &quot;kWh&quot;"/>
    <numFmt numFmtId="172" formatCode="_-* #,##0.00\ [$€-1]_-;\-* #,##0.00\ [$€-1]_-;_-* &quot;-&quot;??\ [$€-1]_-;_-@_-"/>
    <numFmt numFmtId="173" formatCode="#,##0.00000\ &quot;€/kWh&quot;"/>
    <numFmt numFmtId="174" formatCode="0.0%"/>
    <numFmt numFmtId="175" formatCode="_-* #,##0.0\ _€_-;\-* #,##0.0\ _€_-;_-* &quot;-&quot;??\ _€_-;_-@_-"/>
    <numFmt numFmtId="176" formatCode="#,##0\ &quot;kWh&quot;;;&quot;-&quot;"/>
    <numFmt numFmtId="177" formatCode="0.0%;;&quot;-&quot;"/>
    <numFmt numFmtId="178" formatCode="#,##0.00000\ &quot;€/kWh&quot;;;&quot;-&quot;"/>
    <numFmt numFmtId="179" formatCode="#,##0;#;&quot;-&quot;"/>
    <numFmt numFmtId="180" formatCode="0\ &quot;K dan&quot;"/>
    <numFmt numFmtId="181" formatCode="0.#####;#;&quot;-&quot;"/>
    <numFmt numFmtId="182" formatCode="#,##0.0"/>
    <numFmt numFmtId="183" formatCode="#,##0.0;#.0;&quot;-&quot;"/>
    <numFmt numFmtId="184" formatCode="_-* #,##0.00000\ _€_-;\-* #,##0.00000\ _€_-;_-* &quot;-&quot;?????\ _€_-;_-@_-"/>
    <numFmt numFmtId="185" formatCode="0.00000"/>
    <numFmt numFmtId="186" formatCode="_-* #,##0.0\ _€_-;\-* #,##0.0\ _€_-;_-* &quot;-&quot;?????\ _€_-;_-@_-"/>
    <numFmt numFmtId="187" formatCode="#,##0.00000;#.00000;&quot;-&quot;"/>
    <numFmt numFmtId="188" formatCode="mmmm/yyyy"/>
  </numFmts>
  <fonts count="71" x14ac:knownFonts="1">
    <font>
      <sz val="11"/>
      <color theme="1"/>
      <name val="Calibri"/>
      <family val="2"/>
      <scheme val="minor"/>
    </font>
    <font>
      <sz val="11"/>
      <color theme="1"/>
      <name val="Arial"/>
      <family val="2"/>
      <charset val="238"/>
    </font>
    <font>
      <sz val="11"/>
      <color theme="1"/>
      <name val="Calibri"/>
      <family val="2"/>
      <charset val="238"/>
      <scheme val="minor"/>
    </font>
    <font>
      <sz val="11"/>
      <color theme="1"/>
      <name val="Calibri"/>
      <family val="2"/>
      <charset val="238"/>
      <scheme val="minor"/>
    </font>
    <font>
      <sz val="11"/>
      <color indexed="8"/>
      <name val="Calibri"/>
      <family val="2"/>
    </font>
    <font>
      <sz val="10"/>
      <name val="Arial"/>
      <family val="2"/>
      <charset val="238"/>
    </font>
    <font>
      <sz val="10"/>
      <name val="Bookman Old Style"/>
      <family val="1"/>
      <charset val="238"/>
    </font>
    <font>
      <sz val="11"/>
      <color indexed="8"/>
      <name val="Calibri"/>
      <family val="2"/>
      <charset val="238"/>
    </font>
    <font>
      <sz val="11"/>
      <color theme="1"/>
      <name val="Calibri"/>
      <family val="2"/>
      <scheme val="minor"/>
    </font>
    <font>
      <b/>
      <sz val="14"/>
      <color indexed="8"/>
      <name val="Times New Roman"/>
      <family val="1"/>
      <charset val="238"/>
    </font>
    <font>
      <sz val="11"/>
      <color indexed="8"/>
      <name val="Times New Roman"/>
      <family val="1"/>
      <charset val="238"/>
    </font>
    <font>
      <sz val="10"/>
      <name val="Times New Roman"/>
      <family val="1"/>
      <charset val="238"/>
    </font>
    <font>
      <sz val="10"/>
      <name val="Arial"/>
      <family val="2"/>
      <charset val="238"/>
    </font>
    <font>
      <sz val="8"/>
      <color theme="0" tint="-0.14999847407452621"/>
      <name val="Times New Roman"/>
      <family val="1"/>
      <charset val="238"/>
    </font>
    <font>
      <b/>
      <sz val="10"/>
      <name val="Times New Roman"/>
      <family val="1"/>
      <charset val="238"/>
    </font>
    <font>
      <b/>
      <sz val="10"/>
      <color indexed="8"/>
      <name val="Times New Roman"/>
      <family val="1"/>
      <charset val="238"/>
    </font>
    <font>
      <b/>
      <sz val="11"/>
      <name val="Times New Roman"/>
      <family val="1"/>
      <charset val="238"/>
    </font>
    <font>
      <sz val="9"/>
      <name val="Times New Roman"/>
      <family val="1"/>
      <charset val="238"/>
    </font>
    <font>
      <sz val="10"/>
      <color rgb="FFFF0000"/>
      <name val="Times New Roman"/>
      <family val="1"/>
      <charset val="238"/>
    </font>
    <font>
      <b/>
      <sz val="10"/>
      <color rgb="FFFF0000"/>
      <name val="Times New Roman"/>
      <family val="1"/>
      <charset val="238"/>
    </font>
    <font>
      <sz val="10"/>
      <color indexed="8"/>
      <name val="Times New Roman"/>
      <family val="1"/>
      <charset val="238"/>
    </font>
    <font>
      <sz val="10"/>
      <color theme="0"/>
      <name val="Times New Roman"/>
      <family val="1"/>
      <charset val="238"/>
    </font>
    <font>
      <sz val="11"/>
      <color rgb="FF000000"/>
      <name val="Times New Roman"/>
      <family val="1"/>
      <charset val="238"/>
    </font>
    <font>
      <sz val="11"/>
      <color theme="1"/>
      <name val="Times New Roman"/>
      <family val="1"/>
      <charset val="238"/>
    </font>
    <font>
      <b/>
      <sz val="11"/>
      <color theme="1"/>
      <name val="Times New Roman"/>
      <family val="1"/>
      <charset val="238"/>
    </font>
    <font>
      <b/>
      <sz val="12"/>
      <color theme="1"/>
      <name val="Times New Roman"/>
      <family val="1"/>
      <charset val="238"/>
    </font>
    <font>
      <b/>
      <sz val="20"/>
      <color theme="1"/>
      <name val="Times New Roman"/>
      <family val="1"/>
      <charset val="238"/>
    </font>
    <font>
      <b/>
      <sz val="16"/>
      <color theme="1"/>
      <name val="Times New Roman"/>
      <family val="1"/>
      <charset val="238"/>
    </font>
    <font>
      <b/>
      <sz val="14"/>
      <color theme="1"/>
      <name val="Times New Roman"/>
      <family val="1"/>
      <charset val="238"/>
    </font>
    <font>
      <b/>
      <sz val="8"/>
      <name val="Times New Roman"/>
      <family val="1"/>
      <charset val="238"/>
    </font>
    <font>
      <sz val="8"/>
      <name val="Times New Roman"/>
      <family val="1"/>
      <charset val="238"/>
    </font>
    <font>
      <b/>
      <sz val="8"/>
      <color rgb="FFFF0000"/>
      <name val="Times New Roman"/>
      <family val="1"/>
      <charset val="238"/>
    </font>
    <font>
      <sz val="10"/>
      <color theme="1"/>
      <name val="Times New Roman"/>
      <family val="1"/>
      <charset val="238"/>
    </font>
    <font>
      <b/>
      <sz val="14"/>
      <name val="Times New Roman"/>
      <family val="1"/>
      <charset val="238"/>
    </font>
    <font>
      <sz val="12"/>
      <color theme="1"/>
      <name val="Times New Roman"/>
      <family val="1"/>
      <charset val="238"/>
    </font>
    <font>
      <b/>
      <sz val="18"/>
      <name val="Times New Roman"/>
      <family val="1"/>
      <charset val="238"/>
    </font>
    <font>
      <i/>
      <sz val="16"/>
      <name val="Times New Roman"/>
      <family val="1"/>
      <charset val="238"/>
    </font>
    <font>
      <b/>
      <sz val="18"/>
      <color theme="1"/>
      <name val="Times New Roman"/>
      <family val="1"/>
      <charset val="238"/>
    </font>
    <font>
      <b/>
      <sz val="11"/>
      <color theme="0"/>
      <name val="Times New Roman"/>
      <family val="1"/>
      <charset val="238"/>
    </font>
    <font>
      <b/>
      <vertAlign val="subscript"/>
      <sz val="11"/>
      <color theme="0"/>
      <name val="Times New Roman"/>
      <family val="1"/>
      <charset val="238"/>
    </font>
    <font>
      <b/>
      <vertAlign val="superscript"/>
      <sz val="11"/>
      <color theme="0"/>
      <name val="Times New Roman"/>
      <family val="1"/>
      <charset val="238"/>
    </font>
    <font>
      <vertAlign val="subscript"/>
      <sz val="11"/>
      <color theme="1"/>
      <name val="Times New Roman"/>
      <family val="1"/>
      <charset val="238"/>
    </font>
    <font>
      <b/>
      <i/>
      <sz val="11"/>
      <color theme="0"/>
      <name val="Times New Roman"/>
      <family val="1"/>
      <charset val="238"/>
    </font>
    <font>
      <b/>
      <i/>
      <vertAlign val="subscript"/>
      <sz val="11"/>
      <color theme="0"/>
      <name val="Times New Roman"/>
      <family val="1"/>
      <charset val="238"/>
    </font>
    <font>
      <b/>
      <sz val="11"/>
      <color indexed="8"/>
      <name val="Times New Roman"/>
      <family val="1"/>
      <charset val="238"/>
    </font>
    <font>
      <sz val="10"/>
      <color theme="9"/>
      <name val="Times New Roman"/>
      <family val="1"/>
      <charset val="238"/>
    </font>
    <font>
      <i/>
      <u/>
      <sz val="10"/>
      <color indexed="8"/>
      <name val="Times New Roman"/>
      <family val="1"/>
      <charset val="238"/>
    </font>
    <font>
      <sz val="8"/>
      <name val="Calibri"/>
      <family val="2"/>
      <scheme val="minor"/>
    </font>
    <font>
      <sz val="10"/>
      <color rgb="FFFF0000"/>
      <name val="Calibri"/>
      <family val="2"/>
      <charset val="238"/>
      <scheme val="minor"/>
    </font>
    <font>
      <b/>
      <sz val="10"/>
      <color theme="2"/>
      <name val="Calibri"/>
      <family val="2"/>
      <charset val="238"/>
      <scheme val="minor"/>
    </font>
    <font>
      <sz val="10"/>
      <color theme="2"/>
      <name val="Times New Roman"/>
      <family val="1"/>
      <charset val="238"/>
    </font>
    <font>
      <sz val="10"/>
      <color theme="2"/>
      <name val="Calibri"/>
      <family val="2"/>
      <charset val="238"/>
      <scheme val="minor"/>
    </font>
    <font>
      <b/>
      <sz val="9"/>
      <color indexed="81"/>
      <name val="Segoe UI"/>
      <family val="2"/>
      <charset val="238"/>
    </font>
    <font>
      <sz val="9"/>
      <color indexed="81"/>
      <name val="Segoe UI"/>
      <family val="2"/>
      <charset val="238"/>
    </font>
    <font>
      <b/>
      <sz val="36"/>
      <name val="Times New Roman"/>
      <family val="1"/>
      <charset val="238"/>
    </font>
    <font>
      <b/>
      <sz val="12"/>
      <name val="Times New Roman"/>
      <family val="1"/>
      <charset val="238"/>
    </font>
    <font>
      <sz val="12"/>
      <name val="Times New Roman"/>
      <family val="1"/>
      <charset val="238"/>
    </font>
    <font>
      <b/>
      <sz val="16"/>
      <name val="Times New Roman"/>
      <family val="1"/>
      <charset val="238"/>
    </font>
    <font>
      <sz val="18"/>
      <name val="Times New Roman"/>
      <family val="1"/>
      <charset val="238"/>
    </font>
    <font>
      <b/>
      <sz val="24"/>
      <name val="Times New Roman"/>
      <family val="1"/>
      <charset val="238"/>
    </font>
    <font>
      <b/>
      <sz val="24"/>
      <color theme="1"/>
      <name val="Times New Roman"/>
      <family val="1"/>
      <charset val="238"/>
    </font>
    <font>
      <sz val="11"/>
      <name val="Times New Roman"/>
      <family val="1"/>
      <charset val="238"/>
    </font>
    <font>
      <sz val="12"/>
      <color rgb="FFFF0000"/>
      <name val="Times New Roman"/>
      <family val="1"/>
      <charset val="238"/>
    </font>
    <font>
      <sz val="11"/>
      <color rgb="FFFF0000"/>
      <name val="Times New Roman"/>
      <family val="1"/>
      <charset val="238"/>
    </font>
    <font>
      <b/>
      <sz val="10"/>
      <name val="Bookman Old Style"/>
      <family val="1"/>
      <charset val="238"/>
    </font>
    <font>
      <b/>
      <sz val="10"/>
      <color rgb="FF000000"/>
      <name val="Arial"/>
      <family val="2"/>
      <charset val="238"/>
    </font>
    <font>
      <b/>
      <sz val="10"/>
      <color theme="1"/>
      <name val="Calibri"/>
      <family val="2"/>
      <charset val="238"/>
      <scheme val="minor"/>
    </font>
    <font>
      <sz val="10"/>
      <color theme="1"/>
      <name val="Calibri"/>
      <family val="2"/>
      <charset val="238"/>
      <scheme val="minor"/>
    </font>
    <font>
      <sz val="10"/>
      <color theme="0" tint="-4.9989318521683403E-2"/>
      <name val="Times New Roman"/>
      <family val="1"/>
      <charset val="238"/>
    </font>
    <font>
      <b/>
      <sz val="10"/>
      <color theme="0" tint="-4.9989318521683403E-2"/>
      <name val="Calibri"/>
      <family val="2"/>
      <charset val="238"/>
      <scheme val="minor"/>
    </font>
    <font>
      <sz val="10"/>
      <color theme="0" tint="-4.9989318521683403E-2"/>
      <name val="Calibri"/>
      <family val="2"/>
      <charset val="238"/>
      <scheme val="minor"/>
    </font>
  </fonts>
  <fills count="36">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indexed="55"/>
        <bgColor indexed="64"/>
      </patternFill>
    </fill>
    <fill>
      <patternFill patternType="solid">
        <fgColor theme="0" tint="-0.14999847407452621"/>
        <bgColor indexed="64"/>
      </patternFill>
    </fill>
    <fill>
      <patternFill patternType="solid">
        <fgColor rgb="FFD8D8D8"/>
        <bgColor rgb="FF000000"/>
      </patternFill>
    </fill>
    <fill>
      <patternFill patternType="solid">
        <fgColor rgb="FFFFC00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D9D9D9"/>
        <bgColor indexed="64"/>
      </patternFill>
    </fill>
    <fill>
      <patternFill patternType="solid">
        <fgColor rgb="FFD8D8D8"/>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indexed="26"/>
        <bgColor indexed="64"/>
      </patternFill>
    </fill>
    <fill>
      <patternFill patternType="solid">
        <fgColor theme="5" tint="0.39997558519241921"/>
        <bgColor indexed="64"/>
      </patternFill>
    </fill>
    <fill>
      <patternFill patternType="solid">
        <fgColor rgb="FF92D050"/>
        <bgColor indexed="64"/>
      </patternFill>
    </fill>
    <fill>
      <patternFill patternType="solid">
        <fgColor rgb="FFFFFF99"/>
        <bgColor indexed="64"/>
      </patternFill>
    </fill>
    <fill>
      <patternFill patternType="solid">
        <fgColor rgb="FFFFFFFF"/>
        <bgColor rgb="FF000000"/>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theme="4" tint="0.59999389629810485"/>
        <bgColor rgb="FF000000"/>
      </patternFill>
    </fill>
    <fill>
      <patternFill patternType="solid">
        <fgColor theme="5" tint="0.59999389629810485"/>
        <bgColor rgb="FF000000"/>
      </patternFill>
    </fill>
    <fill>
      <patternFill patternType="solid">
        <fgColor theme="3" tint="0.59999389629810485"/>
        <bgColor rgb="FF000000"/>
      </patternFill>
    </fill>
    <fill>
      <patternFill patternType="solid">
        <fgColor theme="9" tint="0.59999389629810485"/>
        <bgColor rgb="FF000000"/>
      </patternFill>
    </fill>
    <fill>
      <patternFill patternType="solid">
        <fgColor theme="6" tint="0.39997558519241921"/>
        <bgColor rgb="FF000000"/>
      </patternFill>
    </fill>
    <fill>
      <patternFill patternType="solid">
        <fgColor theme="7" tint="0.39997558519241921"/>
        <bgColor rgb="FF000000"/>
      </patternFill>
    </fill>
    <fill>
      <patternFill patternType="solid">
        <fgColor theme="0" tint="-0.14999847407452621"/>
        <bgColor rgb="FF000000"/>
      </patternFill>
    </fill>
    <fill>
      <patternFill patternType="solid">
        <fgColor theme="3" tint="0.39997558519241921"/>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indexed="64"/>
      </bottom>
      <diagonal/>
    </border>
    <border>
      <left/>
      <right style="thin">
        <color rgb="FF95B3D7"/>
      </right>
      <top style="thin">
        <color rgb="FF95B3D7"/>
      </top>
      <bottom style="thin">
        <color rgb="FF95B3D7"/>
      </bottom>
      <diagonal/>
    </border>
    <border>
      <left/>
      <right style="thin">
        <color indexed="64"/>
      </right>
      <top/>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auto="1"/>
      </right>
      <top style="medium">
        <color indexed="64"/>
      </top>
      <bottom/>
      <diagonal/>
    </border>
    <border>
      <left/>
      <right style="thin">
        <color indexed="64"/>
      </right>
      <top style="medium">
        <color auto="1"/>
      </top>
      <bottom style="thin">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s>
  <cellStyleXfs count="30">
    <xf numFmtId="0" fontId="0" fillId="0" borderId="0"/>
    <xf numFmtId="0" fontId="4" fillId="0" borderId="0"/>
    <xf numFmtId="0" fontId="5" fillId="0" borderId="0"/>
    <xf numFmtId="44" fontId="5" fillId="0" borderId="0" applyFont="0" applyFill="0" applyBorder="0" applyAlignment="0" applyProtection="0"/>
    <xf numFmtId="9" fontId="7"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0" fontId="5" fillId="0" borderId="0"/>
    <xf numFmtId="164" fontId="8" fillId="0" borderId="0" applyFont="0" applyFill="0" applyBorder="0" applyAlignment="0" applyProtection="0"/>
    <xf numFmtId="44" fontId="8" fillId="0" borderId="0" applyFont="0" applyFill="0" applyBorder="0" applyAlignment="0" applyProtection="0"/>
    <xf numFmtId="0" fontId="5" fillId="0" borderId="0"/>
    <xf numFmtId="164" fontId="5" fillId="0" borderId="0" applyFont="0" applyFill="0" applyBorder="0" applyAlignment="0" applyProtection="0"/>
    <xf numFmtId="9" fontId="5" fillId="0" borderId="0" applyFont="0" applyFill="0" applyBorder="0" applyAlignment="0" applyProtection="0"/>
    <xf numFmtId="166" fontId="5" fillId="0" borderId="0" applyFont="0" applyFill="0" applyBorder="0" applyAlignment="0" applyProtection="0"/>
    <xf numFmtId="0" fontId="5" fillId="0" borderId="0"/>
    <xf numFmtId="0" fontId="2" fillId="0" borderId="0"/>
    <xf numFmtId="0" fontId="5" fillId="0" borderId="0"/>
    <xf numFmtId="0" fontId="12" fillId="0" borderId="0"/>
    <xf numFmtId="0" fontId="5" fillId="0" borderId="0"/>
    <xf numFmtId="44"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9" fontId="8" fillId="0" borderId="0" applyFont="0" applyFill="0" applyBorder="0" applyAlignment="0" applyProtection="0"/>
    <xf numFmtId="0" fontId="2" fillId="0" borderId="0"/>
    <xf numFmtId="0" fontId="1" fillId="0" borderId="0"/>
    <xf numFmtId="164" fontId="1"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cellStyleXfs>
  <cellXfs count="911">
    <xf numFmtId="0" fontId="0" fillId="0" borderId="0" xfId="0"/>
    <xf numFmtId="0" fontId="11" fillId="0" borderId="0" xfId="2" applyFont="1" applyProtection="1">
      <protection hidden="1"/>
    </xf>
    <xf numFmtId="0" fontId="13" fillId="0" borderId="0" xfId="2" applyFont="1" applyAlignment="1" applyProtection="1">
      <alignment horizontal="right"/>
      <protection hidden="1"/>
    </xf>
    <xf numFmtId="0" fontId="14" fillId="0" borderId="0" xfId="2" applyFont="1" applyBorder="1" applyAlignment="1" applyProtection="1">
      <protection hidden="1"/>
    </xf>
    <xf numFmtId="0" fontId="11" fillId="2" borderId="53" xfId="2" applyFont="1" applyFill="1" applyBorder="1" applyAlignment="1" applyProtection="1">
      <protection hidden="1"/>
    </xf>
    <xf numFmtId="3" fontId="11" fillId="0" borderId="0" xfId="2" applyNumberFormat="1" applyFont="1" applyProtection="1">
      <protection hidden="1"/>
    </xf>
    <xf numFmtId="0" fontId="11" fillId="2" borderId="57" xfId="2" applyFont="1" applyFill="1" applyBorder="1" applyProtection="1">
      <protection hidden="1"/>
    </xf>
    <xf numFmtId="0" fontId="11" fillId="11" borderId="35" xfId="2" applyFont="1" applyFill="1" applyBorder="1" applyAlignment="1" applyProtection="1">
      <alignment horizontal="center" wrapText="1" shrinkToFit="1"/>
      <protection hidden="1"/>
    </xf>
    <xf numFmtId="0" fontId="11" fillId="11" borderId="58" xfId="2" applyFont="1" applyFill="1" applyBorder="1" applyAlignment="1" applyProtection="1">
      <alignment horizontal="center" wrapText="1" shrinkToFit="1"/>
      <protection hidden="1"/>
    </xf>
    <xf numFmtId="0" fontId="11" fillId="2" borderId="54" xfId="2" applyFont="1" applyFill="1" applyBorder="1" applyAlignment="1" applyProtection="1">
      <alignment wrapText="1" shrinkToFit="1"/>
      <protection hidden="1"/>
    </xf>
    <xf numFmtId="171" fontId="11" fillId="0" borderId="59" xfId="2" applyNumberFormat="1" applyFont="1" applyBorder="1" applyAlignment="1" applyProtection="1">
      <alignment horizontal="right"/>
      <protection hidden="1"/>
    </xf>
    <xf numFmtId="171" fontId="11" fillId="0" borderId="59" xfId="2" applyNumberFormat="1" applyFont="1" applyFill="1" applyBorder="1" applyAlignment="1" applyProtection="1">
      <alignment horizontal="right"/>
      <protection hidden="1"/>
    </xf>
    <xf numFmtId="165" fontId="11" fillId="0" borderId="0" xfId="2" applyNumberFormat="1" applyFont="1" applyProtection="1">
      <protection hidden="1"/>
    </xf>
    <xf numFmtId="0" fontId="11" fillId="2" borderId="21" xfId="2" applyFont="1" applyFill="1" applyBorder="1" applyAlignment="1" applyProtection="1">
      <alignment wrapText="1" shrinkToFit="1"/>
      <protection hidden="1"/>
    </xf>
    <xf numFmtId="171" fontId="11" fillId="0" borderId="60" xfId="2" applyNumberFormat="1" applyFont="1" applyBorder="1" applyAlignment="1" applyProtection="1">
      <alignment horizontal="right"/>
      <protection hidden="1"/>
    </xf>
    <xf numFmtId="0" fontId="11" fillId="2" borderId="53" xfId="2" applyFont="1" applyFill="1" applyBorder="1" applyAlignment="1" applyProtection="1">
      <alignment wrapText="1" shrinkToFit="1"/>
      <protection hidden="1"/>
    </xf>
    <xf numFmtId="171" fontId="11" fillId="0" borderId="61" xfId="2" applyNumberFormat="1" applyFont="1" applyBorder="1" applyAlignment="1" applyProtection="1">
      <alignment horizontal="right"/>
      <protection hidden="1"/>
    </xf>
    <xf numFmtId="0" fontId="11" fillId="2" borderId="53" xfId="2" quotePrefix="1" applyFont="1" applyFill="1" applyBorder="1" applyAlignment="1" applyProtection="1">
      <alignment wrapText="1" shrinkToFit="1"/>
      <protection hidden="1"/>
    </xf>
    <xf numFmtId="172" fontId="11" fillId="0" borderId="61" xfId="20" applyNumberFormat="1" applyFont="1" applyBorder="1" applyAlignment="1" applyProtection="1">
      <alignment horizontal="right"/>
      <protection hidden="1"/>
    </xf>
    <xf numFmtId="0" fontId="11" fillId="2" borderId="62" xfId="2" applyFont="1" applyFill="1" applyBorder="1" applyAlignment="1" applyProtection="1">
      <alignment wrapText="1" shrinkToFit="1"/>
      <protection hidden="1"/>
    </xf>
    <xf numFmtId="173" fontId="11" fillId="0" borderId="22" xfId="20" applyNumberFormat="1" applyFont="1" applyBorder="1" applyAlignment="1" applyProtection="1">
      <alignment horizontal="right"/>
      <protection hidden="1"/>
    </xf>
    <xf numFmtId="0" fontId="11" fillId="2" borderId="53" xfId="2" quotePrefix="1" applyFont="1" applyFill="1" applyBorder="1" applyAlignment="1" applyProtection="1">
      <alignment shrinkToFit="1"/>
      <protection hidden="1"/>
    </xf>
    <xf numFmtId="0" fontId="11" fillId="2" borderId="53" xfId="2" applyFont="1" applyFill="1" applyBorder="1" applyAlignment="1" applyProtection="1">
      <alignment shrinkToFit="1"/>
      <protection hidden="1"/>
    </xf>
    <xf numFmtId="44" fontId="11" fillId="0" borderId="60" xfId="10" applyFont="1" applyBorder="1" applyAlignment="1" applyProtection="1">
      <alignment horizontal="right"/>
      <protection hidden="1"/>
    </xf>
    <xf numFmtId="44" fontId="11" fillId="0" borderId="61" xfId="20" applyFont="1" applyBorder="1" applyAlignment="1" applyProtection="1">
      <alignment horizontal="right"/>
      <protection hidden="1"/>
    </xf>
    <xf numFmtId="44" fontId="11" fillId="0" borderId="0" xfId="2" applyNumberFormat="1" applyFont="1" applyProtection="1">
      <protection hidden="1"/>
    </xf>
    <xf numFmtId="0" fontId="11" fillId="2" borderId="4" xfId="2" applyFont="1" applyFill="1" applyBorder="1" applyAlignment="1" applyProtection="1">
      <alignment shrinkToFit="1"/>
      <protection hidden="1"/>
    </xf>
    <xf numFmtId="0" fontId="11" fillId="2" borderId="7" xfId="2" applyFont="1" applyFill="1" applyBorder="1" applyAlignment="1" applyProtection="1">
      <alignment shrinkToFit="1"/>
      <protection hidden="1"/>
    </xf>
    <xf numFmtId="44" fontId="11" fillId="0" borderId="64" xfId="10" applyFont="1" applyBorder="1" applyAlignment="1" applyProtection="1">
      <alignment horizontal="right"/>
      <protection hidden="1"/>
    </xf>
    <xf numFmtId="44" fontId="11" fillId="11" borderId="64" xfId="10" applyFont="1" applyFill="1" applyBorder="1" applyAlignment="1" applyProtection="1">
      <alignment horizontal="right"/>
      <protection hidden="1"/>
    </xf>
    <xf numFmtId="0" fontId="18" fillId="0" borderId="0" xfId="2" applyFont="1" applyProtection="1">
      <protection hidden="1"/>
    </xf>
    <xf numFmtId="0" fontId="11" fillId="0" borderId="0" xfId="2" applyFont="1" applyFill="1" applyProtection="1">
      <protection hidden="1"/>
    </xf>
    <xf numFmtId="0" fontId="11" fillId="0" borderId="0" xfId="2" applyFont="1" applyFill="1" applyBorder="1" applyAlignment="1" applyProtection="1">
      <alignment horizontal="left"/>
      <protection hidden="1"/>
    </xf>
    <xf numFmtId="44" fontId="18" fillId="0" borderId="0" xfId="3" applyFont="1" applyBorder="1" applyAlignment="1" applyProtection="1">
      <alignment horizontal="left"/>
      <protection hidden="1"/>
    </xf>
    <xf numFmtId="171" fontId="19" fillId="4" borderId="26" xfId="2" applyNumberFormat="1" applyFont="1" applyFill="1" applyBorder="1" applyAlignment="1" applyProtection="1">
      <alignment horizontal="right"/>
      <protection hidden="1"/>
    </xf>
    <xf numFmtId="173" fontId="14" fillId="4" borderId="18" xfId="2" applyNumberFormat="1" applyFont="1" applyFill="1" applyBorder="1" applyAlignment="1" applyProtection="1">
      <alignment horizontal="right"/>
      <protection hidden="1"/>
    </xf>
    <xf numFmtId="171" fontId="11" fillId="0" borderId="18" xfId="2" applyNumberFormat="1" applyFont="1" applyBorder="1" applyAlignment="1" applyProtection="1">
      <alignment horizontal="right"/>
      <protection hidden="1"/>
    </xf>
    <xf numFmtId="5" fontId="11" fillId="0" borderId="0" xfId="2" applyNumberFormat="1" applyFont="1" applyProtection="1">
      <protection hidden="1"/>
    </xf>
    <xf numFmtId="171" fontId="11" fillId="4" borderId="26" xfId="2" applyNumberFormat="1" applyFont="1" applyFill="1" applyBorder="1" applyAlignment="1" applyProtection="1">
      <alignment horizontal="right"/>
      <protection hidden="1"/>
    </xf>
    <xf numFmtId="165" fontId="11" fillId="0" borderId="18" xfId="2" applyNumberFormat="1" applyFont="1" applyBorder="1" applyAlignment="1" applyProtection="1">
      <alignment horizontal="right"/>
      <protection hidden="1"/>
    </xf>
    <xf numFmtId="165" fontId="14" fillId="0" borderId="18" xfId="2" applyNumberFormat="1" applyFont="1" applyBorder="1" applyAlignment="1" applyProtection="1">
      <alignment horizontal="right"/>
      <protection hidden="1"/>
    </xf>
    <xf numFmtId="10" fontId="11" fillId="0" borderId="18" xfId="21" applyNumberFormat="1" applyFont="1" applyBorder="1" applyAlignment="1" applyProtection="1">
      <alignment horizontal="right"/>
      <protection hidden="1"/>
    </xf>
    <xf numFmtId="0" fontId="11" fillId="0" borderId="51" xfId="2" applyFont="1" applyBorder="1" applyProtection="1">
      <protection hidden="1"/>
    </xf>
    <xf numFmtId="0" fontId="11" fillId="0" borderId="0" xfId="2" applyFont="1" applyBorder="1" applyProtection="1">
      <protection hidden="1"/>
    </xf>
    <xf numFmtId="0" fontId="18" fillId="0" borderId="52" xfId="2" applyFont="1" applyBorder="1" applyProtection="1">
      <protection hidden="1"/>
    </xf>
    <xf numFmtId="171" fontId="19" fillId="4" borderId="18" xfId="2" applyNumberFormat="1" applyFont="1" applyFill="1" applyBorder="1" applyAlignment="1" applyProtection="1">
      <alignment horizontal="right"/>
      <protection hidden="1"/>
    </xf>
    <xf numFmtId="171" fontId="11" fillId="0" borderId="0" xfId="2" applyNumberFormat="1" applyFont="1" applyProtection="1">
      <protection hidden="1"/>
    </xf>
    <xf numFmtId="171" fontId="11" fillId="4" borderId="18" xfId="2" applyNumberFormat="1" applyFont="1" applyFill="1" applyBorder="1" applyAlignment="1" applyProtection="1">
      <alignment horizontal="right"/>
      <protection hidden="1"/>
    </xf>
    <xf numFmtId="165" fontId="19" fillId="4" borderId="18" xfId="2" applyNumberFormat="1" applyFont="1" applyFill="1" applyBorder="1" applyAlignment="1" applyProtection="1">
      <alignment horizontal="right"/>
      <protection hidden="1"/>
    </xf>
    <xf numFmtId="165" fontId="14" fillId="0" borderId="5" xfId="3" applyNumberFormat="1" applyFont="1" applyBorder="1" applyAlignment="1" applyProtection="1">
      <alignment horizontal="right"/>
      <protection hidden="1"/>
    </xf>
    <xf numFmtId="44" fontId="14" fillId="0" borderId="2" xfId="3" applyFont="1" applyBorder="1" applyAlignment="1" applyProtection="1">
      <alignment horizontal="center"/>
      <protection hidden="1"/>
    </xf>
    <xf numFmtId="0" fontId="11" fillId="0" borderId="1" xfId="2" applyFont="1" applyBorder="1" applyAlignment="1" applyProtection="1">
      <alignment horizontal="center"/>
      <protection hidden="1"/>
    </xf>
    <xf numFmtId="165" fontId="20" fillId="0" borderId="1" xfId="3" applyNumberFormat="1" applyFont="1" applyBorder="1" applyProtection="1">
      <protection hidden="1"/>
    </xf>
    <xf numFmtId="44" fontId="20" fillId="0" borderId="1" xfId="3" applyFont="1" applyBorder="1" applyProtection="1">
      <protection hidden="1"/>
    </xf>
    <xf numFmtId="44" fontId="14" fillId="2" borderId="1" xfId="3" applyFont="1" applyFill="1" applyBorder="1" applyProtection="1">
      <protection hidden="1"/>
    </xf>
    <xf numFmtId="0" fontId="11" fillId="2" borderId="1" xfId="2" applyFont="1" applyFill="1" applyBorder="1" applyAlignment="1" applyProtection="1">
      <alignment horizontal="center"/>
      <protection hidden="1"/>
    </xf>
    <xf numFmtId="9" fontId="11" fillId="2" borderId="1" xfId="2" applyNumberFormat="1" applyFont="1" applyFill="1" applyBorder="1" applyAlignment="1" applyProtection="1">
      <alignment horizontal="center"/>
      <protection hidden="1"/>
    </xf>
    <xf numFmtId="0" fontId="14" fillId="11" borderId="1" xfId="2" applyFont="1" applyFill="1" applyBorder="1" applyAlignment="1" applyProtection="1">
      <alignment horizontal="center" wrapText="1"/>
      <protection hidden="1"/>
    </xf>
    <xf numFmtId="0" fontId="11" fillId="0" borderId="1" xfId="2" applyFont="1" applyBorder="1" applyProtection="1">
      <protection hidden="1"/>
    </xf>
    <xf numFmtId="168" fontId="11" fillId="0" borderId="1" xfId="22" applyNumberFormat="1" applyFont="1" applyFill="1" applyBorder="1" applyProtection="1">
      <protection hidden="1"/>
    </xf>
    <xf numFmtId="0" fontId="14" fillId="11" borderId="1" xfId="2" applyFont="1" applyFill="1" applyBorder="1" applyAlignment="1" applyProtection="1">
      <alignment wrapText="1"/>
      <protection hidden="1"/>
    </xf>
    <xf numFmtId="168" fontId="11" fillId="4" borderId="1" xfId="9" applyNumberFormat="1" applyFont="1" applyFill="1" applyBorder="1" applyProtection="1">
      <protection hidden="1"/>
    </xf>
    <xf numFmtId="173" fontId="11" fillId="0" borderId="63" xfId="20" applyNumberFormat="1" applyFont="1" applyBorder="1" applyAlignment="1" applyProtection="1">
      <alignment horizontal="right"/>
      <protection hidden="1"/>
    </xf>
    <xf numFmtId="0" fontId="22" fillId="21" borderId="65" xfId="0" quotePrefix="1" applyFont="1" applyFill="1" applyBorder="1" applyAlignment="1">
      <alignment horizontal="left" vertical="top" wrapText="1"/>
    </xf>
    <xf numFmtId="0" fontId="23" fillId="0" borderId="0" xfId="0" applyFont="1"/>
    <xf numFmtId="0" fontId="26" fillId="0" borderId="0" xfId="0" applyFont="1" applyAlignment="1">
      <alignment horizontal="center"/>
    </xf>
    <xf numFmtId="0" fontId="24" fillId="0" borderId="0" xfId="0" applyFont="1" applyAlignment="1">
      <alignment horizontal="center"/>
    </xf>
    <xf numFmtId="0" fontId="27" fillId="0" borderId="0" xfId="0" applyFont="1" applyAlignment="1">
      <alignment horizontal="center"/>
    </xf>
    <xf numFmtId="0" fontId="14" fillId="2" borderId="35" xfId="2" applyFont="1" applyFill="1" applyBorder="1" applyAlignment="1">
      <alignment horizontal="center" vertical="center"/>
    </xf>
    <xf numFmtId="0" fontId="14" fillId="20" borderId="14" xfId="2" applyFont="1" applyFill="1" applyBorder="1" applyAlignment="1">
      <alignment vertical="center"/>
    </xf>
    <xf numFmtId="0" fontId="14" fillId="20" borderId="13" xfId="2" applyFont="1" applyFill="1" applyBorder="1" applyAlignment="1">
      <alignment vertical="center"/>
    </xf>
    <xf numFmtId="0" fontId="14" fillId="20" borderId="0" xfId="2" applyFont="1" applyFill="1" applyBorder="1" applyAlignment="1">
      <alignment horizontal="center" vertical="center"/>
    </xf>
    <xf numFmtId="0" fontId="29" fillId="2" borderId="34" xfId="2" applyFont="1" applyFill="1" applyBorder="1" applyAlignment="1">
      <alignment horizontal="center" vertical="center" wrapText="1"/>
    </xf>
    <xf numFmtId="0" fontId="29" fillId="2" borderId="33" xfId="2" applyFont="1" applyFill="1" applyBorder="1" applyAlignment="1">
      <alignment horizontal="center" vertical="center" wrapText="1"/>
    </xf>
    <xf numFmtId="0" fontId="29" fillId="2" borderId="33" xfId="2" applyFont="1" applyFill="1" applyBorder="1" applyAlignment="1">
      <alignment horizontal="left" vertical="center" wrapText="1"/>
    </xf>
    <xf numFmtId="0" fontId="29" fillId="2" borderId="5" xfId="2" applyFont="1" applyFill="1" applyBorder="1" applyAlignment="1">
      <alignment horizontal="center" vertical="center" wrapText="1"/>
    </xf>
    <xf numFmtId="0" fontId="30" fillId="11" borderId="27" xfId="2" applyFont="1" applyFill="1" applyBorder="1" applyAlignment="1">
      <alignment horizontal="center" vertical="center"/>
    </xf>
    <xf numFmtId="0" fontId="30" fillId="11" borderId="27" xfId="2" applyFont="1" applyFill="1" applyBorder="1"/>
    <xf numFmtId="168" fontId="30" fillId="11" borderId="27" xfId="9" applyNumberFormat="1" applyFont="1" applyFill="1" applyBorder="1"/>
    <xf numFmtId="164" fontId="30" fillId="11" borderId="27" xfId="9" applyFont="1" applyFill="1" applyBorder="1" applyAlignment="1">
      <alignment horizontal="center" vertical="center"/>
    </xf>
    <xf numFmtId="168" fontId="30" fillId="11" borderId="27" xfId="9" applyNumberFormat="1" applyFont="1" applyFill="1" applyBorder="1" applyAlignment="1">
      <alignment horizontal="center" vertical="center"/>
    </xf>
    <xf numFmtId="164" fontId="30" fillId="11" borderId="27" xfId="9" applyFont="1" applyFill="1" applyBorder="1" applyAlignment="1">
      <alignment vertical="center" wrapText="1"/>
    </xf>
    <xf numFmtId="0" fontId="30" fillId="11" borderId="27" xfId="9" applyNumberFormat="1" applyFont="1" applyFill="1" applyBorder="1" applyAlignment="1">
      <alignment horizontal="center" vertical="center"/>
    </xf>
    <xf numFmtId="0" fontId="30" fillId="11" borderId="27" xfId="9" applyNumberFormat="1" applyFont="1" applyFill="1" applyBorder="1" applyAlignment="1">
      <alignment horizontal="center" vertical="center" wrapText="1"/>
    </xf>
    <xf numFmtId="175" fontId="30" fillId="18" borderId="27" xfId="9" applyNumberFormat="1" applyFont="1" applyFill="1" applyBorder="1" applyAlignment="1">
      <alignment horizontal="center" vertical="center"/>
    </xf>
    <xf numFmtId="167" fontId="30" fillId="19" borderId="27" xfId="9" applyNumberFormat="1" applyFont="1" applyFill="1" applyBorder="1" applyAlignment="1">
      <alignment horizontal="center" vertical="center" wrapText="1"/>
    </xf>
    <xf numFmtId="164" fontId="30" fillId="18" borderId="27" xfId="9" applyFont="1" applyFill="1" applyBorder="1" applyAlignment="1">
      <alignment horizontal="center" vertical="center"/>
    </xf>
    <xf numFmtId="168" fontId="30" fillId="18" borderId="27" xfId="9" applyNumberFormat="1" applyFont="1" applyFill="1" applyBorder="1" applyAlignment="1">
      <alignment horizontal="center" vertical="center"/>
    </xf>
    <xf numFmtId="172" fontId="30" fillId="18" borderId="27" xfId="9" applyNumberFormat="1" applyFont="1" applyFill="1" applyBorder="1" applyAlignment="1">
      <alignment horizontal="center" vertical="center"/>
    </xf>
    <xf numFmtId="174" fontId="30" fillId="18" borderId="27" xfId="23" applyNumberFormat="1" applyFont="1" applyFill="1" applyBorder="1" applyAlignment="1">
      <alignment horizontal="center" vertical="center"/>
    </xf>
    <xf numFmtId="169" fontId="30" fillId="18" borderId="27" xfId="9" applyNumberFormat="1" applyFont="1" applyFill="1" applyBorder="1" applyAlignment="1">
      <alignment horizontal="center" vertical="center"/>
    </xf>
    <xf numFmtId="168" fontId="30" fillId="19" borderId="27" xfId="9" applyNumberFormat="1" applyFont="1" applyFill="1" applyBorder="1" applyAlignment="1">
      <alignment horizontal="center" vertical="center"/>
    </xf>
    <xf numFmtId="44" fontId="30" fillId="19" borderId="27" xfId="10" applyFont="1" applyFill="1" applyBorder="1" applyAlignment="1">
      <alignment horizontal="center" vertical="center"/>
    </xf>
    <xf numFmtId="169" fontId="30" fillId="19" borderId="27" xfId="9" applyNumberFormat="1" applyFont="1" applyFill="1" applyBorder="1" applyAlignment="1">
      <alignment horizontal="center" vertical="center"/>
    </xf>
    <xf numFmtId="44" fontId="29" fillId="20" borderId="27" xfId="10" applyFont="1" applyFill="1" applyBorder="1" applyAlignment="1">
      <alignment horizontal="center" vertical="center"/>
    </xf>
    <xf numFmtId="44" fontId="31" fillId="20" borderId="27" xfId="10" applyFont="1" applyFill="1" applyBorder="1" applyAlignment="1">
      <alignment horizontal="center" vertical="center"/>
    </xf>
    <xf numFmtId="168" fontId="23" fillId="0" borderId="0" xfId="0" applyNumberFormat="1" applyFont="1"/>
    <xf numFmtId="0" fontId="24" fillId="0" borderId="0" xfId="0" applyFont="1"/>
    <xf numFmtId="0" fontId="23" fillId="0" borderId="0" xfId="0" applyFont="1" applyAlignment="1">
      <alignment horizontal="right"/>
    </xf>
    <xf numFmtId="0" fontId="33" fillId="0" borderId="0" xfId="18" applyFont="1"/>
    <xf numFmtId="0" fontId="11" fillId="0" borderId="0" xfId="18" applyFont="1"/>
    <xf numFmtId="0" fontId="28" fillId="0" borderId="0" xfId="18" applyFont="1" applyBorder="1"/>
    <xf numFmtId="0" fontId="11" fillId="0" borderId="0" xfId="18" applyFont="1" applyBorder="1"/>
    <xf numFmtId="164" fontId="11" fillId="0" borderId="0" xfId="12" applyFont="1" applyBorder="1"/>
    <xf numFmtId="166" fontId="11" fillId="0" borderId="0" xfId="14" applyFont="1" applyBorder="1"/>
    <xf numFmtId="0" fontId="34" fillId="12" borderId="34" xfId="18" applyFont="1" applyFill="1" applyBorder="1" applyAlignment="1">
      <alignment horizontal="justify" vertical="center"/>
    </xf>
    <xf numFmtId="0" fontId="34" fillId="12" borderId="33" xfId="18" applyFont="1" applyFill="1" applyBorder="1" applyAlignment="1">
      <alignment horizontal="justify" vertical="center"/>
    </xf>
    <xf numFmtId="0" fontId="34" fillId="13" borderId="33" xfId="18" applyFont="1" applyFill="1" applyBorder="1" applyAlignment="1">
      <alignment horizontal="center" vertical="center"/>
    </xf>
    <xf numFmtId="0" fontId="34" fillId="14" borderId="32" xfId="18" applyFont="1" applyFill="1" applyBorder="1" applyAlignment="1">
      <alignment horizontal="center" vertical="center"/>
    </xf>
    <xf numFmtId="0" fontId="34" fillId="14" borderId="31" xfId="18" applyFont="1" applyFill="1" applyBorder="1" applyAlignment="1">
      <alignment horizontal="justify" vertical="center"/>
    </xf>
    <xf numFmtId="0" fontId="34" fillId="14" borderId="31" xfId="18" applyFont="1" applyFill="1" applyBorder="1" applyAlignment="1">
      <alignment horizontal="center" vertical="center"/>
    </xf>
    <xf numFmtId="2" fontId="34" fillId="14" borderId="31" xfId="18" applyNumberFormat="1" applyFont="1" applyFill="1" applyBorder="1" applyAlignment="1">
      <alignment horizontal="center" vertical="center"/>
    </xf>
    <xf numFmtId="0" fontId="34" fillId="14" borderId="30" xfId="18" applyFont="1" applyFill="1" applyBorder="1" applyAlignment="1">
      <alignment horizontal="left" vertical="center"/>
    </xf>
    <xf numFmtId="0" fontId="34" fillId="14" borderId="1" xfId="18" applyFont="1" applyFill="1" applyBorder="1" applyAlignment="1">
      <alignment horizontal="justify" vertical="center"/>
    </xf>
    <xf numFmtId="0" fontId="34" fillId="14" borderId="1" xfId="18" applyFont="1" applyFill="1" applyBorder="1" applyAlignment="1">
      <alignment horizontal="center" vertical="center"/>
    </xf>
    <xf numFmtId="2" fontId="34" fillId="14" borderId="1" xfId="18" applyNumberFormat="1" applyFont="1" applyFill="1" applyBorder="1" applyAlignment="1">
      <alignment horizontal="center" vertical="center"/>
    </xf>
    <xf numFmtId="166" fontId="34" fillId="0" borderId="1" xfId="14" applyFont="1" applyFill="1" applyBorder="1"/>
    <xf numFmtId="170" fontId="25" fillId="0" borderId="1" xfId="12" applyNumberFormat="1" applyFont="1" applyFill="1" applyBorder="1" applyAlignment="1">
      <alignment horizontal="right"/>
    </xf>
    <xf numFmtId="0" fontId="35" fillId="0" borderId="0" xfId="18" applyFont="1"/>
    <xf numFmtId="0" fontId="36" fillId="0" borderId="0" xfId="18" applyFont="1" applyAlignment="1">
      <alignment vertical="top" wrapText="1"/>
    </xf>
    <xf numFmtId="0" fontId="37" fillId="0" borderId="0" xfId="0" applyFont="1" applyAlignment="1">
      <alignment vertical="center"/>
    </xf>
    <xf numFmtId="0" fontId="23" fillId="0" borderId="0" xfId="0" applyFont="1" applyAlignment="1">
      <alignment horizontal="center" vertical="center"/>
    </xf>
    <xf numFmtId="0" fontId="23" fillId="0" borderId="0" xfId="0" applyFont="1" applyAlignment="1">
      <alignment vertical="center"/>
    </xf>
    <xf numFmtId="0" fontId="38" fillId="15" borderId="45" xfId="0" applyFont="1" applyFill="1" applyBorder="1" applyAlignment="1">
      <alignment vertical="center"/>
    </xf>
    <xf numFmtId="0" fontId="38" fillId="15" borderId="46" xfId="0" applyFont="1" applyFill="1" applyBorder="1" applyAlignment="1">
      <alignment horizontal="center" vertical="center" wrapText="1"/>
    </xf>
    <xf numFmtId="0" fontId="38" fillId="15" borderId="47" xfId="0" applyFont="1" applyFill="1" applyBorder="1" applyAlignment="1">
      <alignment horizontal="center" vertical="center" wrapText="1"/>
    </xf>
    <xf numFmtId="0" fontId="23" fillId="16" borderId="45" xfId="0" applyFont="1" applyFill="1" applyBorder="1" applyAlignment="1">
      <alignment vertical="center"/>
    </xf>
    <xf numFmtId="0" fontId="23" fillId="16" borderId="46" xfId="0" applyFont="1" applyFill="1" applyBorder="1" applyAlignment="1">
      <alignment horizontal="center" vertical="center"/>
    </xf>
    <xf numFmtId="0" fontId="23" fillId="16" borderId="47" xfId="0" applyFont="1" applyFill="1" applyBorder="1" applyAlignment="1">
      <alignment vertical="center" wrapText="1"/>
    </xf>
    <xf numFmtId="0" fontId="23" fillId="0" borderId="45" xfId="0" applyFont="1" applyBorder="1" applyAlignment="1">
      <alignment vertical="center"/>
    </xf>
    <xf numFmtId="0" fontId="23" fillId="0" borderId="46" xfId="0" applyFont="1" applyBorder="1" applyAlignment="1">
      <alignment horizontal="center" vertical="center"/>
    </xf>
    <xf numFmtId="0" fontId="23" fillId="0" borderId="47" xfId="0" applyFont="1" applyBorder="1" applyAlignment="1">
      <alignment vertical="center" wrapText="1"/>
    </xf>
    <xf numFmtId="0" fontId="23" fillId="16" borderId="47" xfId="0" applyFont="1" applyFill="1" applyBorder="1" applyAlignment="1">
      <alignment horizontal="center" vertical="center" wrapText="1"/>
    </xf>
    <xf numFmtId="0" fontId="23" fillId="0" borderId="48" xfId="0" applyFont="1" applyBorder="1" applyAlignment="1">
      <alignment vertical="center"/>
    </xf>
    <xf numFmtId="0" fontId="23" fillId="0" borderId="49" xfId="0" applyFont="1" applyBorder="1" applyAlignment="1">
      <alignment horizontal="center" vertical="center"/>
    </xf>
    <xf numFmtId="0" fontId="23" fillId="0" borderId="50" xfId="0" applyFont="1" applyBorder="1" applyAlignment="1">
      <alignment vertical="center" wrapText="1"/>
    </xf>
    <xf numFmtId="0" fontId="23" fillId="16" borderId="48" xfId="0" applyFont="1" applyFill="1" applyBorder="1" applyAlignment="1">
      <alignment vertical="center"/>
    </xf>
    <xf numFmtId="0" fontId="23" fillId="16" borderId="50" xfId="0" applyFont="1" applyFill="1" applyBorder="1" applyAlignment="1">
      <alignment horizontal="center" vertical="center"/>
    </xf>
    <xf numFmtId="0" fontId="24" fillId="0" borderId="0" xfId="0" applyFont="1" applyAlignment="1">
      <alignment vertical="center"/>
    </xf>
    <xf numFmtId="0" fontId="23" fillId="0" borderId="0" xfId="0" applyFont="1" applyAlignment="1">
      <alignment vertical="top"/>
    </xf>
    <xf numFmtId="0" fontId="23" fillId="0" borderId="0" xfId="0" applyFont="1" applyAlignment="1">
      <alignment horizontal="center" vertical="top"/>
    </xf>
    <xf numFmtId="0" fontId="23" fillId="0" borderId="0" xfId="0" quotePrefix="1" applyFont="1" applyAlignment="1">
      <alignment vertical="center"/>
    </xf>
    <xf numFmtId="0" fontId="23" fillId="16" borderId="46" xfId="0" applyFont="1" applyFill="1" applyBorder="1" applyAlignment="1">
      <alignment horizontal="center" vertical="center" wrapText="1"/>
    </xf>
    <xf numFmtId="0" fontId="24" fillId="0" borderId="45" xfId="0" applyFont="1" applyBorder="1" applyAlignment="1">
      <alignment vertical="center"/>
    </xf>
    <xf numFmtId="0" fontId="23" fillId="0" borderId="46" xfId="0" applyFont="1" applyBorder="1" applyAlignment="1">
      <alignment horizontal="center" vertical="center" wrapText="1"/>
    </xf>
    <xf numFmtId="0" fontId="23" fillId="0" borderId="47" xfId="0" applyFont="1" applyBorder="1" applyAlignment="1">
      <alignment horizontal="center" vertical="center"/>
    </xf>
    <xf numFmtId="2" fontId="23" fillId="16" borderId="46" xfId="0" applyNumberFormat="1" applyFont="1" applyFill="1" applyBorder="1" applyAlignment="1">
      <alignment horizontal="center" vertical="center"/>
    </xf>
    <xf numFmtId="0" fontId="23" fillId="16" borderId="47" xfId="0" applyFont="1" applyFill="1" applyBorder="1" applyAlignment="1">
      <alignment horizontal="center" vertical="center"/>
    </xf>
    <xf numFmtId="2" fontId="23" fillId="0" borderId="46" xfId="0" applyNumberFormat="1" applyFont="1" applyBorder="1" applyAlignment="1">
      <alignment horizontal="center" vertical="center"/>
    </xf>
    <xf numFmtId="0" fontId="24" fillId="16" borderId="45" xfId="0" applyFont="1" applyFill="1" applyBorder="1" applyAlignment="1">
      <alignment vertical="center"/>
    </xf>
    <xf numFmtId="2" fontId="23" fillId="0" borderId="49" xfId="0" applyNumberFormat="1" applyFont="1" applyBorder="1" applyAlignment="1">
      <alignment horizontal="center" vertical="center"/>
    </xf>
    <xf numFmtId="0" fontId="23" fillId="0" borderId="50" xfId="0" applyFont="1" applyBorder="1" applyAlignment="1">
      <alignment horizontal="center" vertical="center"/>
    </xf>
    <xf numFmtId="0" fontId="9" fillId="0" borderId="0" xfId="1" applyFont="1" applyAlignment="1">
      <alignment horizontal="justify" vertical="top"/>
    </xf>
    <xf numFmtId="0" fontId="9" fillId="0" borderId="0" xfId="1" applyFont="1" applyAlignment="1">
      <alignment horizontal="left" vertical="top" wrapText="1"/>
    </xf>
    <xf numFmtId="0" fontId="10" fillId="0" borderId="0" xfId="1" applyFont="1" applyAlignment="1">
      <alignment vertical="top"/>
    </xf>
    <xf numFmtId="0" fontId="20" fillId="0" borderId="0" xfId="1" applyFont="1" applyAlignment="1">
      <alignment horizontal="justify" vertical="top"/>
    </xf>
    <xf numFmtId="0" fontId="44" fillId="0" borderId="0" xfId="1" applyFont="1" applyAlignment="1">
      <alignment horizontal="justify" vertical="top"/>
    </xf>
    <xf numFmtId="0" fontId="10" fillId="0" borderId="0" xfId="1" applyFont="1" applyAlignment="1">
      <alignment horizontal="justify" vertical="top"/>
    </xf>
    <xf numFmtId="0" fontId="10" fillId="0" borderId="0" xfId="1" applyFont="1" applyFill="1" applyAlignment="1">
      <alignment horizontal="justify" vertical="top"/>
    </xf>
    <xf numFmtId="0" fontId="10" fillId="0" borderId="0" xfId="1" quotePrefix="1" applyFont="1" applyAlignment="1">
      <alignment horizontal="justify" vertical="top"/>
    </xf>
    <xf numFmtId="0" fontId="28" fillId="0" borderId="0" xfId="0" applyFont="1" applyAlignment="1">
      <alignment vertical="top" wrapText="1"/>
    </xf>
    <xf numFmtId="0" fontId="23" fillId="0" borderId="0" xfId="0" applyFont="1" applyAlignment="1">
      <alignment vertical="top" wrapText="1"/>
    </xf>
    <xf numFmtId="0" fontId="9" fillId="0" borderId="0" xfId="1" applyFont="1" applyAlignment="1">
      <alignment horizontal="justify" vertical="center"/>
    </xf>
    <xf numFmtId="0" fontId="10" fillId="0" borderId="0" xfId="1" applyFont="1"/>
    <xf numFmtId="0" fontId="20" fillId="0" borderId="0" xfId="1" applyFont="1" applyAlignment="1">
      <alignment horizontal="justify" vertical="center"/>
    </xf>
    <xf numFmtId="0" fontId="15" fillId="0" borderId="0" xfId="1" applyFont="1" applyAlignment="1">
      <alignment horizontal="justify" vertical="center"/>
    </xf>
    <xf numFmtId="0" fontId="32" fillId="0" borderId="0" xfId="1" applyFont="1" applyAlignment="1">
      <alignment horizontal="left" vertical="center" indent="2"/>
    </xf>
    <xf numFmtId="0" fontId="11" fillId="0" borderId="0" xfId="1" applyFont="1" applyAlignment="1">
      <alignment horizontal="left" vertical="center" indent="2"/>
    </xf>
    <xf numFmtId="0" fontId="11" fillId="0" borderId="0" xfId="1" applyFont="1" applyAlignment="1">
      <alignment horizontal="left" vertical="center"/>
    </xf>
    <xf numFmtId="0" fontId="45" fillId="0" borderId="0" xfId="1" applyFont="1" applyAlignment="1">
      <alignment horizontal="left" vertical="center" indent="2"/>
    </xf>
    <xf numFmtId="0" fontId="20" fillId="0" borderId="0" xfId="1" applyFont="1" applyAlignment="1">
      <alignment horizontal="left" vertical="center" indent="2"/>
    </xf>
    <xf numFmtId="0" fontId="46" fillId="0" borderId="0" xfId="1" applyFont="1" applyAlignment="1">
      <alignment horizontal="justify" vertical="center"/>
    </xf>
    <xf numFmtId="0" fontId="28" fillId="0" borderId="0" xfId="0" applyFont="1"/>
    <xf numFmtId="0" fontId="9" fillId="5" borderId="0" xfId="2" applyFont="1" applyFill="1" applyAlignment="1" applyProtection="1">
      <protection hidden="1"/>
    </xf>
    <xf numFmtId="0" fontId="11" fillId="5" borderId="0" xfId="2" applyFont="1" applyFill="1" applyProtection="1">
      <protection hidden="1"/>
    </xf>
    <xf numFmtId="0" fontId="21" fillId="5" borderId="0" xfId="2" applyFont="1" applyFill="1" applyProtection="1">
      <protection hidden="1"/>
    </xf>
    <xf numFmtId="0" fontId="11" fillId="5" borderId="0" xfId="2" applyFont="1" applyFill="1" applyAlignment="1" applyProtection="1">
      <alignment horizontal="center"/>
      <protection hidden="1"/>
    </xf>
    <xf numFmtId="0" fontId="14" fillId="6" borderId="1" xfId="2" applyFont="1" applyFill="1" applyBorder="1" applyAlignment="1" applyProtection="1">
      <alignment horizontal="center" vertical="center" wrapText="1"/>
      <protection hidden="1"/>
    </xf>
    <xf numFmtId="0" fontId="29" fillId="2" borderId="1" xfId="2" applyFont="1" applyFill="1" applyBorder="1" applyAlignment="1" applyProtection="1">
      <alignment horizontal="center" vertical="center" wrapText="1"/>
      <protection hidden="1"/>
    </xf>
    <xf numFmtId="0" fontId="29" fillId="2" borderId="9" xfId="2" applyFont="1" applyFill="1" applyBorder="1" applyAlignment="1" applyProtection="1">
      <alignment horizontal="center" vertical="center" wrapText="1"/>
      <protection hidden="1"/>
    </xf>
    <xf numFmtId="0" fontId="29" fillId="6" borderId="1" xfId="2" applyFont="1" applyFill="1" applyBorder="1" applyAlignment="1" applyProtection="1">
      <alignment horizontal="center" vertical="center" wrapText="1"/>
      <protection hidden="1"/>
    </xf>
    <xf numFmtId="0" fontId="21" fillId="5" borderId="0" xfId="2" applyFont="1" applyFill="1" applyAlignment="1" applyProtection="1">
      <alignment wrapText="1"/>
      <protection hidden="1"/>
    </xf>
    <xf numFmtId="0" fontId="11" fillId="5" borderId="0" xfId="2" applyFont="1" applyFill="1" applyAlignment="1" applyProtection="1">
      <alignment wrapText="1"/>
      <protection hidden="1"/>
    </xf>
    <xf numFmtId="0" fontId="30" fillId="2" borderId="1" xfId="2" applyFont="1" applyFill="1" applyBorder="1" applyAlignment="1" applyProtection="1">
      <alignment horizontal="center"/>
      <protection hidden="1"/>
    </xf>
    <xf numFmtId="3" fontId="11" fillId="0" borderId="1" xfId="2" applyNumberFormat="1" applyFont="1" applyBorder="1" applyProtection="1">
      <protection hidden="1"/>
    </xf>
    <xf numFmtId="44" fontId="11" fillId="0" borderId="1" xfId="2" applyNumberFormat="1" applyFont="1" applyBorder="1" applyProtection="1">
      <protection hidden="1"/>
    </xf>
    <xf numFmtId="3" fontId="14" fillId="6" borderId="1" xfId="2" applyNumberFormat="1" applyFont="1" applyFill="1" applyBorder="1" applyProtection="1">
      <protection hidden="1"/>
    </xf>
    <xf numFmtId="10" fontId="14" fillId="6" borderId="1" xfId="3" applyNumberFormat="1" applyFont="1" applyFill="1" applyBorder="1" applyProtection="1">
      <protection hidden="1"/>
    </xf>
    <xf numFmtId="44" fontId="14" fillId="6" borderId="1" xfId="3" applyFont="1" applyFill="1" applyBorder="1" applyProtection="1">
      <protection hidden="1"/>
    </xf>
    <xf numFmtId="174" fontId="14" fillId="6" borderId="1" xfId="4" applyNumberFormat="1" applyFont="1" applyFill="1" applyBorder="1" applyProtection="1">
      <protection hidden="1"/>
    </xf>
    <xf numFmtId="0" fontId="14" fillId="2" borderId="1" xfId="2" applyFont="1" applyFill="1" applyBorder="1" applyAlignment="1" applyProtection="1">
      <alignment horizontal="center"/>
      <protection hidden="1"/>
    </xf>
    <xf numFmtId="0" fontId="11" fillId="2" borderId="19" xfId="2" applyFont="1" applyFill="1" applyBorder="1" applyAlignment="1" applyProtection="1">
      <alignment horizontal="left"/>
      <protection hidden="1"/>
    </xf>
    <xf numFmtId="0" fontId="11" fillId="2" borderId="1" xfId="2" applyFont="1" applyFill="1" applyBorder="1" applyAlignment="1" applyProtection="1">
      <alignment horizontal="left"/>
      <protection hidden="1"/>
    </xf>
    <xf numFmtId="0" fontId="11" fillId="2" borderId="43" xfId="2" applyFont="1" applyFill="1" applyBorder="1" applyAlignment="1" applyProtection="1">
      <alignment horizontal="left"/>
      <protection hidden="1"/>
    </xf>
    <xf numFmtId="0" fontId="11" fillId="2" borderId="44" xfId="2" applyFont="1" applyFill="1" applyBorder="1" applyAlignment="1" applyProtection="1">
      <alignment horizontal="left"/>
      <protection hidden="1"/>
    </xf>
    <xf numFmtId="0" fontId="11" fillId="2" borderId="53" xfId="2" applyFont="1" applyFill="1" applyBorder="1" applyAlignment="1" applyProtection="1">
      <alignment horizontal="left"/>
      <protection hidden="1"/>
    </xf>
    <xf numFmtId="0" fontId="11" fillId="2" borderId="8" xfId="2" applyFont="1" applyFill="1" applyBorder="1" applyAlignment="1" applyProtection="1">
      <alignment horizontal="left"/>
      <protection hidden="1"/>
    </xf>
    <xf numFmtId="0" fontId="14" fillId="2" borderId="0" xfId="2" applyFont="1" applyFill="1" applyBorder="1" applyAlignment="1">
      <alignment horizontal="center" vertical="center"/>
    </xf>
    <xf numFmtId="0" fontId="14" fillId="2" borderId="66" xfId="2" applyFont="1" applyFill="1" applyBorder="1" applyAlignment="1">
      <alignment horizontal="center" vertical="center"/>
    </xf>
    <xf numFmtId="0" fontId="14" fillId="2" borderId="24" xfId="2" applyFont="1" applyFill="1" applyBorder="1" applyAlignment="1">
      <alignment horizontal="center" vertical="center"/>
    </xf>
    <xf numFmtId="0" fontId="14" fillId="19" borderId="11" xfId="2" applyFont="1" applyFill="1" applyBorder="1" applyAlignment="1">
      <alignment horizontal="center" vertical="center"/>
    </xf>
    <xf numFmtId="0" fontId="14" fillId="19" borderId="0" xfId="2" applyFont="1" applyFill="1" applyBorder="1" applyAlignment="1">
      <alignment horizontal="center" vertical="center"/>
    </xf>
    <xf numFmtId="0" fontId="14" fillId="19" borderId="66" xfId="2" applyFont="1" applyFill="1" applyBorder="1" applyAlignment="1">
      <alignment horizontal="center" vertical="center"/>
    </xf>
    <xf numFmtId="0" fontId="14" fillId="20" borderId="11" xfId="2" applyFont="1" applyFill="1" applyBorder="1" applyAlignment="1">
      <alignment vertical="center"/>
    </xf>
    <xf numFmtId="0" fontId="14" fillId="20" borderId="0" xfId="2" applyFont="1" applyFill="1" applyBorder="1" applyAlignment="1">
      <alignment vertical="center"/>
    </xf>
    <xf numFmtId="0" fontId="29" fillId="2" borderId="39" xfId="2" applyFont="1" applyFill="1" applyBorder="1" applyAlignment="1">
      <alignment horizontal="center" vertical="center" wrapText="1"/>
    </xf>
    <xf numFmtId="168" fontId="30" fillId="22" borderId="27" xfId="9" applyNumberFormat="1" applyFont="1" applyFill="1" applyBorder="1" applyAlignment="1">
      <alignment horizontal="center" vertical="center"/>
    </xf>
    <xf numFmtId="164" fontId="30" fillId="10" borderId="27" xfId="9" applyFont="1" applyFill="1" applyBorder="1" applyAlignment="1">
      <alignment horizontal="center" vertical="center"/>
    </xf>
    <xf numFmtId="168" fontId="30" fillId="10" borderId="27" xfId="9" applyNumberFormat="1" applyFont="1" applyFill="1" applyBorder="1" applyAlignment="1">
      <alignment horizontal="center" vertical="center"/>
    </xf>
    <xf numFmtId="172" fontId="30" fillId="10" borderId="27" xfId="23" applyNumberFormat="1" applyFont="1" applyFill="1" applyBorder="1" applyAlignment="1">
      <alignment horizontal="center" vertical="center"/>
    </xf>
    <xf numFmtId="169" fontId="30" fillId="10" borderId="27" xfId="9" applyNumberFormat="1" applyFont="1" applyFill="1" applyBorder="1" applyAlignment="1">
      <alignment horizontal="center" vertical="center"/>
    </xf>
    <xf numFmtId="168" fontId="30" fillId="23" borderId="27" xfId="9" applyNumberFormat="1" applyFont="1" applyFill="1" applyBorder="1" applyAlignment="1">
      <alignment horizontal="center" vertical="center"/>
    </xf>
    <xf numFmtId="0" fontId="29" fillId="2" borderId="16" xfId="2" applyFont="1" applyFill="1" applyBorder="1" applyAlignment="1">
      <alignment horizontal="center" vertical="center" wrapText="1"/>
    </xf>
    <xf numFmtId="0" fontId="11" fillId="2" borderId="67" xfId="2" applyFont="1" applyFill="1" applyBorder="1" applyAlignment="1" applyProtection="1">
      <protection hidden="1"/>
    </xf>
    <xf numFmtId="3" fontId="18" fillId="0" borderId="0" xfId="2" applyNumberFormat="1" applyFont="1" applyProtection="1">
      <protection hidden="1"/>
    </xf>
    <xf numFmtId="165" fontId="18" fillId="0" borderId="0" xfId="2" applyNumberFormat="1" applyFont="1" applyProtection="1">
      <protection hidden="1"/>
    </xf>
    <xf numFmtId="0" fontId="48" fillId="0" borderId="0" xfId="2" applyFont="1" applyBorder="1" applyProtection="1">
      <protection hidden="1"/>
    </xf>
    <xf numFmtId="0" fontId="18" fillId="0" borderId="0" xfId="2" applyFont="1" applyFill="1" applyProtection="1">
      <protection hidden="1"/>
    </xf>
    <xf numFmtId="0" fontId="17" fillId="17" borderId="53" xfId="2" applyFont="1" applyFill="1" applyBorder="1" applyAlignment="1" applyProtection="1">
      <alignment vertical="top" wrapText="1"/>
      <protection locked="0"/>
    </xf>
    <xf numFmtId="0" fontId="15" fillId="2" borderId="54" xfId="2" applyFont="1" applyFill="1" applyBorder="1" applyAlignment="1" applyProtection="1">
      <protection hidden="1"/>
    </xf>
    <xf numFmtId="0" fontId="17" fillId="17" borderId="7" xfId="2" applyFont="1" applyFill="1" applyBorder="1" applyAlignment="1" applyProtection="1">
      <alignment vertical="top" wrapText="1"/>
      <protection locked="0"/>
    </xf>
    <xf numFmtId="0" fontId="15" fillId="2" borderId="30" xfId="2" applyFont="1" applyFill="1" applyBorder="1" applyAlignment="1" applyProtection="1">
      <alignment horizontal="center" wrapText="1"/>
      <protection hidden="1"/>
    </xf>
    <xf numFmtId="0" fontId="15" fillId="2" borderId="29" xfId="2" applyFont="1" applyFill="1" applyBorder="1" applyAlignment="1" applyProtection="1">
      <alignment horizontal="center" wrapText="1"/>
      <protection hidden="1"/>
    </xf>
    <xf numFmtId="0" fontId="11" fillId="2" borderId="43" xfId="2" applyFont="1" applyFill="1" applyBorder="1" applyAlignment="1" applyProtection="1">
      <protection hidden="1"/>
    </xf>
    <xf numFmtId="0" fontId="11" fillId="2" borderId="19" xfId="2" applyFont="1" applyFill="1" applyBorder="1" applyAlignment="1" applyProtection="1">
      <protection hidden="1"/>
    </xf>
    <xf numFmtId="0" fontId="11" fillId="2" borderId="28" xfId="2" applyFont="1" applyFill="1" applyBorder="1" applyAlignment="1" applyProtection="1">
      <protection hidden="1"/>
    </xf>
    <xf numFmtId="165" fontId="17" fillId="17" borderId="1" xfId="10" applyNumberFormat="1" applyFont="1" applyFill="1" applyBorder="1" applyAlignment="1" applyProtection="1">
      <alignment vertical="top" wrapText="1"/>
      <protection locked="0"/>
    </xf>
    <xf numFmtId="165" fontId="17" fillId="17" borderId="34" xfId="10" applyNumberFormat="1" applyFont="1" applyFill="1" applyBorder="1" applyAlignment="1" applyProtection="1">
      <alignment vertical="top" wrapText="1"/>
      <protection locked="0"/>
    </xf>
    <xf numFmtId="165" fontId="17" fillId="17" borderId="5" xfId="10" applyNumberFormat="1" applyFont="1" applyFill="1" applyBorder="1" applyAlignment="1" applyProtection="1">
      <alignment vertical="top" wrapText="1"/>
      <protection locked="0"/>
    </xf>
    <xf numFmtId="0" fontId="49" fillId="0" borderId="0" xfId="2" applyFont="1" applyProtection="1">
      <protection hidden="1"/>
    </xf>
    <xf numFmtId="0" fontId="50" fillId="0" borderId="0" xfId="2" applyFont="1" applyProtection="1">
      <protection hidden="1"/>
    </xf>
    <xf numFmtId="0" fontId="51" fillId="0" borderId="0" xfId="2" applyFont="1" applyBorder="1" applyProtection="1">
      <protection hidden="1"/>
    </xf>
    <xf numFmtId="44" fontId="6" fillId="0" borderId="18" xfId="4" applyNumberFormat="1" applyFont="1" applyBorder="1" applyAlignment="1" applyProtection="1">
      <alignment horizontal="right"/>
      <protection hidden="1"/>
    </xf>
    <xf numFmtId="9" fontId="11" fillId="0" borderId="2" xfId="23" applyFont="1" applyBorder="1" applyAlignment="1" applyProtection="1">
      <alignment horizontal="right"/>
      <protection hidden="1"/>
    </xf>
    <xf numFmtId="177" fontId="11" fillId="4" borderId="1" xfId="21" applyNumberFormat="1" applyFont="1" applyFill="1" applyBorder="1" applyProtection="1">
      <protection hidden="1"/>
    </xf>
    <xf numFmtId="178" fontId="11" fillId="4" borderId="18" xfId="2" applyNumberFormat="1" applyFont="1" applyFill="1" applyBorder="1" applyAlignment="1" applyProtection="1">
      <alignment horizontal="right"/>
      <protection hidden="1"/>
    </xf>
    <xf numFmtId="10" fontId="20" fillId="0" borderId="1" xfId="3" applyNumberFormat="1" applyFont="1" applyBorder="1" applyProtection="1">
      <protection hidden="1"/>
    </xf>
    <xf numFmtId="176" fontId="11" fillId="4" borderId="9" xfId="2" applyNumberFormat="1" applyFont="1" applyFill="1" applyBorder="1" applyAlignment="1" applyProtection="1">
      <alignment horizontal="right"/>
      <protection hidden="1"/>
    </xf>
    <xf numFmtId="0" fontId="14" fillId="11" borderId="32" xfId="2" applyFont="1" applyFill="1" applyBorder="1" applyProtection="1">
      <protection hidden="1"/>
    </xf>
    <xf numFmtId="0" fontId="14" fillId="11" borderId="31" xfId="2" applyFont="1" applyFill="1" applyBorder="1" applyAlignment="1" applyProtection="1">
      <alignment horizontal="center" wrapText="1"/>
      <protection hidden="1"/>
    </xf>
    <xf numFmtId="0" fontId="14" fillId="11" borderId="29" xfId="2" applyFont="1" applyFill="1" applyBorder="1" applyAlignment="1" applyProtection="1">
      <alignment horizontal="center" wrapText="1"/>
      <protection hidden="1"/>
    </xf>
    <xf numFmtId="0" fontId="11" fillId="0" borderId="19" xfId="2" applyFont="1" applyBorder="1" applyProtection="1">
      <protection hidden="1"/>
    </xf>
    <xf numFmtId="0" fontId="14" fillId="11" borderId="43" xfId="2" applyFont="1" applyFill="1" applyBorder="1" applyProtection="1">
      <protection hidden="1"/>
    </xf>
    <xf numFmtId="177" fontId="11" fillId="11" borderId="44" xfId="21" applyNumberFormat="1" applyFont="1" applyFill="1" applyBorder="1" applyProtection="1">
      <protection hidden="1"/>
    </xf>
    <xf numFmtId="168" fontId="14" fillId="11" borderId="44" xfId="2" applyNumberFormat="1" applyFont="1" applyFill="1" applyBorder="1" applyProtection="1">
      <protection hidden="1"/>
    </xf>
    <xf numFmtId="176" fontId="14" fillId="11" borderId="44" xfId="2" applyNumberFormat="1" applyFont="1" applyFill="1" applyBorder="1" applyProtection="1">
      <protection hidden="1"/>
    </xf>
    <xf numFmtId="168" fontId="14" fillId="11" borderId="2" xfId="2" applyNumberFormat="1" applyFont="1" applyFill="1" applyBorder="1" applyProtection="1">
      <protection hidden="1"/>
    </xf>
    <xf numFmtId="0" fontId="54" fillId="5" borderId="0" xfId="24" applyFont="1" applyFill="1" applyAlignment="1" applyProtection="1">
      <alignment horizontal="left" vertical="top"/>
      <protection hidden="1"/>
    </xf>
    <xf numFmtId="0" fontId="11" fillId="5" borderId="0" xfId="24" applyFont="1" applyFill="1" applyAlignment="1" applyProtection="1">
      <alignment horizontal="center" vertical="center"/>
      <protection hidden="1"/>
    </xf>
    <xf numFmtId="0" fontId="11" fillId="5" borderId="0" xfId="24" applyFont="1" applyFill="1" applyAlignment="1" applyProtection="1">
      <alignment vertical="center"/>
      <protection hidden="1"/>
    </xf>
    <xf numFmtId="0" fontId="55" fillId="0" borderId="0" xfId="24" applyFont="1" applyAlignment="1" applyProtection="1">
      <alignment horizontal="left" vertical="top" wrapText="1"/>
      <protection hidden="1"/>
    </xf>
    <xf numFmtId="0" fontId="55" fillId="0" borderId="16" xfId="24" applyFont="1" applyBorder="1" applyAlignment="1" applyProtection="1">
      <alignment horizontal="left" vertical="top" wrapText="1"/>
      <protection hidden="1"/>
    </xf>
    <xf numFmtId="0" fontId="23" fillId="0" borderId="0" xfId="25" applyFont="1"/>
    <xf numFmtId="0" fontId="56" fillId="5" borderId="0" xfId="24" applyFont="1" applyFill="1" applyAlignment="1" applyProtection="1">
      <alignment horizontal="center" vertical="center"/>
      <protection hidden="1"/>
    </xf>
    <xf numFmtId="0" fontId="56" fillId="5" borderId="0" xfId="24" applyFont="1" applyFill="1" applyAlignment="1" applyProtection="1">
      <alignment horizontal="right"/>
      <protection hidden="1"/>
    </xf>
    <xf numFmtId="0" fontId="57" fillId="4" borderId="35" xfId="24" applyFont="1" applyFill="1" applyBorder="1" applyAlignment="1" applyProtection="1">
      <alignment vertical="center"/>
      <protection hidden="1"/>
    </xf>
    <xf numFmtId="0" fontId="56" fillId="5" borderId="0" xfId="24" applyFont="1" applyFill="1" applyAlignment="1" applyProtection="1">
      <alignment vertical="center"/>
      <protection hidden="1"/>
    </xf>
    <xf numFmtId="0" fontId="56" fillId="0" borderId="0" xfId="24" applyFont="1" applyAlignment="1" applyProtection="1">
      <alignment vertical="center"/>
      <protection hidden="1"/>
    </xf>
    <xf numFmtId="0" fontId="56" fillId="5" borderId="0" xfId="24" applyFont="1" applyFill="1" applyAlignment="1" applyProtection="1">
      <alignment horizontal="right" vertical="center"/>
      <protection hidden="1"/>
    </xf>
    <xf numFmtId="0" fontId="57" fillId="4" borderId="35" xfId="24" applyFont="1" applyFill="1" applyBorder="1" applyAlignment="1" applyProtection="1">
      <alignment horizontal="center" vertical="center"/>
      <protection hidden="1"/>
    </xf>
    <xf numFmtId="0" fontId="55" fillId="0" borderId="0" xfId="24" applyFont="1" applyAlignment="1" applyProtection="1">
      <alignment horizontal="left" vertical="center" wrapText="1"/>
      <protection hidden="1"/>
    </xf>
    <xf numFmtId="0" fontId="56" fillId="0" borderId="0" xfId="24" applyFont="1" applyProtection="1">
      <protection hidden="1"/>
    </xf>
    <xf numFmtId="0" fontId="25" fillId="5" borderId="0" xfId="24" applyFont="1" applyFill="1" applyAlignment="1" applyProtection="1">
      <alignment vertical="center"/>
      <protection hidden="1"/>
    </xf>
    <xf numFmtId="0" fontId="28" fillId="0" borderId="0" xfId="24" applyFont="1" applyAlignment="1" applyProtection="1">
      <alignment vertical="center"/>
      <protection hidden="1"/>
    </xf>
    <xf numFmtId="0" fontId="28" fillId="5" borderId="0" xfId="24" applyFont="1" applyFill="1" applyAlignment="1" applyProtection="1">
      <alignment vertical="center"/>
      <protection hidden="1"/>
    </xf>
    <xf numFmtId="0" fontId="25" fillId="0" borderId="0" xfId="24" applyFont="1" applyAlignment="1" applyProtection="1">
      <alignment vertical="center"/>
      <protection hidden="1"/>
    </xf>
    <xf numFmtId="0" fontId="56" fillId="0" borderId="0" xfId="24" applyFont="1" applyAlignment="1" applyProtection="1">
      <alignment horizontal="right" vertical="top"/>
      <protection hidden="1"/>
    </xf>
    <xf numFmtId="0" fontId="11" fillId="0" borderId="0" xfId="24" applyFont="1" applyAlignment="1" applyProtection="1">
      <alignment horizontal="center" vertical="center"/>
      <protection hidden="1"/>
    </xf>
    <xf numFmtId="0" fontId="11" fillId="0" borderId="0" xfId="24" applyFont="1" applyAlignment="1" applyProtection="1">
      <alignment vertical="center"/>
      <protection hidden="1"/>
    </xf>
    <xf numFmtId="0" fontId="60" fillId="0" borderId="0" xfId="24" applyFont="1" applyAlignment="1" applyProtection="1">
      <alignment vertical="center"/>
      <protection hidden="1"/>
    </xf>
    <xf numFmtId="0" fontId="55" fillId="0" borderId="0" xfId="24" applyFont="1" applyAlignment="1" applyProtection="1">
      <alignment vertical="top"/>
      <protection hidden="1"/>
    </xf>
    <xf numFmtId="0" fontId="55" fillId="7" borderId="43" xfId="24" applyFont="1" applyFill="1" applyBorder="1" applyAlignment="1" applyProtection="1">
      <alignment horizontal="center" vertical="center" wrapText="1"/>
      <protection hidden="1"/>
    </xf>
    <xf numFmtId="0" fontId="55" fillId="7" borderId="44" xfId="24" applyFont="1" applyFill="1" applyBorder="1" applyAlignment="1" applyProtection="1">
      <alignment horizontal="center" vertical="center" wrapText="1"/>
      <protection hidden="1"/>
    </xf>
    <xf numFmtId="0" fontId="55" fillId="7" borderId="2" xfId="24" applyFont="1" applyFill="1" applyBorder="1" applyAlignment="1" applyProtection="1">
      <alignment horizontal="center" vertical="center" wrapText="1"/>
      <protection hidden="1"/>
    </xf>
    <xf numFmtId="0" fontId="55" fillId="7" borderId="3" xfId="24" applyFont="1" applyFill="1" applyBorder="1" applyAlignment="1" applyProtection="1">
      <alignment horizontal="center" vertical="center" wrapText="1"/>
      <protection hidden="1"/>
    </xf>
    <xf numFmtId="0" fontId="55" fillId="7" borderId="69" xfId="24" applyFont="1" applyFill="1" applyBorder="1" applyAlignment="1" applyProtection="1">
      <alignment horizontal="center" vertical="center" wrapText="1"/>
      <protection hidden="1"/>
    </xf>
    <xf numFmtId="0" fontId="56" fillId="7" borderId="2" xfId="24" applyFont="1" applyFill="1" applyBorder="1" applyAlignment="1" applyProtection="1">
      <alignment horizontal="center" vertical="center"/>
      <protection hidden="1"/>
    </xf>
    <xf numFmtId="0" fontId="55" fillId="7" borderId="59" xfId="24" applyFont="1" applyFill="1" applyBorder="1" applyAlignment="1" applyProtection="1">
      <alignment horizontal="center" vertical="center"/>
      <protection hidden="1"/>
    </xf>
    <xf numFmtId="179" fontId="56" fillId="0" borderId="28" xfId="24" applyNumberFormat="1" applyFont="1" applyBorder="1" applyAlignment="1" applyProtection="1">
      <alignment horizontal="right" vertical="center" wrapText="1"/>
      <protection hidden="1"/>
    </xf>
    <xf numFmtId="44" fontId="56" fillId="0" borderId="27" xfId="24" applyNumberFormat="1" applyFont="1" applyBorder="1" applyAlignment="1" applyProtection="1">
      <alignment horizontal="right" vertical="center" wrapText="1"/>
      <protection hidden="1"/>
    </xf>
    <xf numFmtId="10" fontId="56" fillId="0" borderId="26" xfId="24" applyNumberFormat="1" applyFont="1" applyBorder="1" applyAlignment="1" applyProtection="1">
      <alignment horizontal="right" vertical="center" wrapText="1"/>
      <protection hidden="1"/>
    </xf>
    <xf numFmtId="179" fontId="56" fillId="0" borderId="77" xfId="24" applyNumberFormat="1" applyFont="1" applyBorder="1" applyAlignment="1" applyProtection="1">
      <alignment horizontal="right" vertical="center" wrapText="1"/>
      <protection hidden="1"/>
    </xf>
    <xf numFmtId="10" fontId="56" fillId="0" borderId="10" xfId="24" applyNumberFormat="1" applyFont="1" applyBorder="1" applyAlignment="1" applyProtection="1">
      <alignment horizontal="right" vertical="center" wrapText="1"/>
      <protection hidden="1"/>
    </xf>
    <xf numFmtId="179" fontId="56" fillId="0" borderId="28" xfId="24" applyNumberFormat="1" applyFont="1" applyBorder="1" applyAlignment="1" applyProtection="1">
      <alignment horizontal="right" vertical="center"/>
      <protection hidden="1"/>
    </xf>
    <xf numFmtId="3" fontId="55" fillId="24" borderId="77" xfId="24" applyNumberFormat="1" applyFont="1" applyFill="1" applyBorder="1" applyAlignment="1" applyProtection="1">
      <alignment horizontal="center" vertical="center" wrapText="1"/>
      <protection hidden="1"/>
    </xf>
    <xf numFmtId="44" fontId="55" fillId="24" borderId="27" xfId="24" applyNumberFormat="1" applyFont="1" applyFill="1" applyBorder="1" applyAlignment="1" applyProtection="1">
      <alignment horizontal="center" vertical="center" wrapText="1"/>
      <protection hidden="1"/>
    </xf>
    <xf numFmtId="0" fontId="56" fillId="24" borderId="26" xfId="24" applyFont="1" applyFill="1" applyBorder="1" applyAlignment="1" applyProtection="1">
      <alignment horizontal="center" vertical="center"/>
      <protection hidden="1"/>
    </xf>
    <xf numFmtId="0" fontId="55" fillId="7" borderId="61" xfId="24" applyFont="1" applyFill="1" applyBorder="1" applyAlignment="1" applyProtection="1">
      <alignment horizontal="center" vertical="center"/>
      <protection hidden="1"/>
    </xf>
    <xf numFmtId="179" fontId="56" fillId="0" borderId="19" xfId="24" applyNumberFormat="1" applyFont="1" applyBorder="1" applyAlignment="1" applyProtection="1">
      <alignment horizontal="right" vertical="center" wrapText="1"/>
      <protection hidden="1"/>
    </xf>
    <xf numFmtId="44" fontId="56" fillId="0" borderId="1" xfId="24" applyNumberFormat="1" applyFont="1" applyBorder="1" applyAlignment="1" applyProtection="1">
      <alignment horizontal="right" vertical="center" wrapText="1"/>
      <protection hidden="1"/>
    </xf>
    <xf numFmtId="10" fontId="56" fillId="0" borderId="18" xfId="24" applyNumberFormat="1" applyFont="1" applyBorder="1" applyAlignment="1" applyProtection="1">
      <alignment horizontal="right" vertical="center" wrapText="1"/>
      <protection hidden="1"/>
    </xf>
    <xf numFmtId="179" fontId="56" fillId="0" borderId="8" xfId="24" applyNumberFormat="1" applyFont="1" applyBorder="1" applyAlignment="1" applyProtection="1">
      <alignment horizontal="right" vertical="center" wrapText="1"/>
      <protection hidden="1"/>
    </xf>
    <xf numFmtId="10" fontId="56" fillId="0" borderId="9" xfId="24" applyNumberFormat="1" applyFont="1" applyBorder="1" applyAlignment="1" applyProtection="1">
      <alignment horizontal="right" vertical="center" wrapText="1"/>
      <protection hidden="1"/>
    </xf>
    <xf numFmtId="3" fontId="56" fillId="0" borderId="19" xfId="24" applyNumberFormat="1" applyFont="1" applyBorder="1" applyAlignment="1" applyProtection="1">
      <alignment horizontal="right" vertical="center"/>
      <protection hidden="1"/>
    </xf>
    <xf numFmtId="0" fontId="55" fillId="7" borderId="51" xfId="24" applyFont="1" applyFill="1" applyBorder="1" applyAlignment="1" applyProtection="1">
      <alignment horizontal="center" vertical="center"/>
      <protection hidden="1"/>
    </xf>
    <xf numFmtId="0" fontId="56" fillId="0" borderId="57" xfId="24" applyFont="1" applyBorder="1" applyAlignment="1" applyProtection="1">
      <alignment horizontal="right" vertical="center" wrapText="1"/>
      <protection hidden="1"/>
    </xf>
    <xf numFmtId="44" fontId="56" fillId="0" borderId="35" xfId="24" applyNumberFormat="1" applyFont="1" applyBorder="1" applyAlignment="1" applyProtection="1">
      <alignment horizontal="right" vertical="center" wrapText="1"/>
      <protection hidden="1"/>
    </xf>
    <xf numFmtId="10" fontId="56" fillId="0" borderId="58" xfId="24" applyNumberFormat="1" applyFont="1" applyBorder="1" applyAlignment="1" applyProtection="1">
      <alignment horizontal="right" vertical="center" wrapText="1"/>
      <protection hidden="1"/>
    </xf>
    <xf numFmtId="0" fontId="56" fillId="0" borderId="12" xfId="24" applyFont="1" applyBorder="1" applyAlignment="1" applyProtection="1">
      <alignment horizontal="right" vertical="center" wrapText="1"/>
      <protection hidden="1"/>
    </xf>
    <xf numFmtId="10" fontId="56" fillId="0" borderId="14" xfId="24" applyNumberFormat="1" applyFont="1" applyBorder="1" applyAlignment="1" applyProtection="1">
      <alignment horizontal="right" vertical="center" wrapText="1"/>
      <protection hidden="1"/>
    </xf>
    <xf numFmtId="0" fontId="56" fillId="0" borderId="57" xfId="24" applyFont="1" applyBorder="1" applyAlignment="1" applyProtection="1">
      <alignment horizontal="right" vertical="center"/>
      <protection hidden="1"/>
    </xf>
    <xf numFmtId="0" fontId="33" fillId="11" borderId="7" xfId="24" applyFont="1" applyFill="1" applyBorder="1" applyAlignment="1" applyProtection="1">
      <alignment horizontal="center" vertical="center"/>
      <protection hidden="1"/>
    </xf>
    <xf numFmtId="179" fontId="55" fillId="11" borderId="34" xfId="24" applyNumberFormat="1" applyFont="1" applyFill="1" applyBorder="1" applyAlignment="1" applyProtection="1">
      <alignment horizontal="right" vertical="center" wrapText="1"/>
      <protection hidden="1"/>
    </xf>
    <xf numFmtId="44" fontId="55" fillId="11" borderId="33" xfId="24" applyNumberFormat="1" applyFont="1" applyFill="1" applyBorder="1" applyAlignment="1" applyProtection="1">
      <alignment horizontal="right" vertical="center" wrapText="1"/>
      <protection hidden="1"/>
    </xf>
    <xf numFmtId="10" fontId="55" fillId="11" borderId="5" xfId="24" applyNumberFormat="1" applyFont="1" applyFill="1" applyBorder="1" applyAlignment="1" applyProtection="1">
      <alignment horizontal="right" vertical="center" wrapText="1"/>
      <protection hidden="1"/>
    </xf>
    <xf numFmtId="179" fontId="55" fillId="11" borderId="6" xfId="24" applyNumberFormat="1" applyFont="1" applyFill="1" applyBorder="1" applyAlignment="1" applyProtection="1">
      <alignment horizontal="right" vertical="center" wrapText="1"/>
      <protection hidden="1"/>
    </xf>
    <xf numFmtId="10" fontId="55" fillId="11" borderId="41" xfId="24" applyNumberFormat="1" applyFont="1" applyFill="1" applyBorder="1" applyAlignment="1" applyProtection="1">
      <alignment horizontal="right" vertical="center" wrapText="1"/>
      <protection hidden="1"/>
    </xf>
    <xf numFmtId="179" fontId="55" fillId="11" borderId="34" xfId="24" applyNumberFormat="1" applyFont="1" applyFill="1" applyBorder="1" applyAlignment="1" applyProtection="1">
      <alignment horizontal="right" vertical="center"/>
      <protection hidden="1"/>
    </xf>
    <xf numFmtId="3" fontId="55" fillId="11" borderId="6" xfId="24" applyNumberFormat="1" applyFont="1" applyFill="1" applyBorder="1" applyAlignment="1" applyProtection="1">
      <alignment horizontal="center" vertical="center" wrapText="1"/>
      <protection hidden="1"/>
    </xf>
    <xf numFmtId="44" fontId="55" fillId="11" borderId="33" xfId="24" applyNumberFormat="1" applyFont="1" applyFill="1" applyBorder="1" applyAlignment="1" applyProtection="1">
      <alignment horizontal="center" vertical="center" wrapText="1"/>
      <protection hidden="1"/>
    </xf>
    <xf numFmtId="0" fontId="55" fillId="11" borderId="5" xfId="24" applyFont="1" applyFill="1" applyBorder="1" applyAlignment="1" applyProtection="1">
      <alignment horizontal="center" vertical="center"/>
      <protection hidden="1"/>
    </xf>
    <xf numFmtId="0" fontId="60" fillId="10" borderId="7" xfId="24" applyFont="1" applyFill="1" applyBorder="1" applyAlignment="1" applyProtection="1">
      <alignment vertical="center"/>
      <protection hidden="1"/>
    </xf>
    <xf numFmtId="0" fontId="60" fillId="10" borderId="73" xfId="24" applyFont="1" applyFill="1" applyBorder="1" applyAlignment="1" applyProtection="1">
      <alignment vertical="center"/>
      <protection hidden="1"/>
    </xf>
    <xf numFmtId="0" fontId="60" fillId="10" borderId="42" xfId="24" applyFont="1" applyFill="1" applyBorder="1" applyAlignment="1" applyProtection="1">
      <alignment vertical="center"/>
      <protection hidden="1"/>
    </xf>
    <xf numFmtId="0" fontId="56" fillId="0" borderId="0" xfId="24" applyFont="1" applyAlignment="1" applyProtection="1">
      <alignment horizontal="right" vertical="center"/>
      <protection hidden="1"/>
    </xf>
    <xf numFmtId="170" fontId="55" fillId="5" borderId="1" xfId="26" applyNumberFormat="1" applyFont="1" applyFill="1" applyBorder="1" applyAlignment="1" applyProtection="1">
      <alignment horizontal="left" vertical="center"/>
      <protection hidden="1"/>
    </xf>
    <xf numFmtId="0" fontId="55" fillId="5" borderId="0" xfId="24" applyFont="1" applyFill="1" applyAlignment="1" applyProtection="1">
      <alignment horizontal="left" vertical="center"/>
      <protection hidden="1"/>
    </xf>
    <xf numFmtId="0" fontId="55" fillId="5" borderId="0" xfId="24" applyFont="1" applyFill="1" applyAlignment="1" applyProtection="1">
      <alignment vertical="center"/>
      <protection hidden="1"/>
    </xf>
    <xf numFmtId="0" fontId="33" fillId="9" borderId="71" xfId="24" applyFont="1" applyFill="1" applyBorder="1" applyAlignment="1" applyProtection="1">
      <alignment vertical="center"/>
      <protection hidden="1"/>
    </xf>
    <xf numFmtId="0" fontId="33" fillId="9" borderId="73" xfId="24" applyFont="1" applyFill="1" applyBorder="1" applyAlignment="1" applyProtection="1">
      <alignment vertical="center"/>
      <protection hidden="1"/>
    </xf>
    <xf numFmtId="0" fontId="33" fillId="9" borderId="42" xfId="24" applyFont="1" applyFill="1" applyBorder="1" applyAlignment="1" applyProtection="1">
      <alignment vertical="center"/>
      <protection hidden="1"/>
    </xf>
    <xf numFmtId="0" fontId="14" fillId="7" borderId="22" xfId="24" applyFont="1" applyFill="1" applyBorder="1" applyAlignment="1" applyProtection="1">
      <alignment horizontal="center" vertical="center" wrapText="1"/>
      <protection hidden="1"/>
    </xf>
    <xf numFmtId="0" fontId="14" fillId="28" borderId="53" xfId="24" applyFont="1" applyFill="1" applyBorder="1" applyAlignment="1" applyProtection="1">
      <alignment horizontal="center" vertical="center" wrapText="1"/>
      <protection hidden="1"/>
    </xf>
    <xf numFmtId="0" fontId="14" fillId="28" borderId="9" xfId="24" applyFont="1" applyFill="1" applyBorder="1" applyAlignment="1" applyProtection="1">
      <alignment horizontal="center" vertical="center" wrapText="1"/>
      <protection hidden="1"/>
    </xf>
    <xf numFmtId="0" fontId="14" fillId="29" borderId="9" xfId="24" applyFont="1" applyFill="1" applyBorder="1" applyAlignment="1" applyProtection="1">
      <alignment horizontal="center" vertical="center" wrapText="1"/>
      <protection hidden="1"/>
    </xf>
    <xf numFmtId="0" fontId="14" fillId="30" borderId="9" xfId="24" applyFont="1" applyFill="1" applyBorder="1" applyAlignment="1" applyProtection="1">
      <alignment horizontal="center" vertical="center" wrapText="1"/>
      <protection hidden="1"/>
    </xf>
    <xf numFmtId="0" fontId="14" fillId="31" borderId="9" xfId="24" applyFont="1" applyFill="1" applyBorder="1" applyAlignment="1" applyProtection="1">
      <alignment horizontal="center" vertical="center" wrapText="1"/>
      <protection hidden="1"/>
    </xf>
    <xf numFmtId="0" fontId="14" fillId="32" borderId="9" xfId="24" applyFont="1" applyFill="1" applyBorder="1" applyAlignment="1" applyProtection="1">
      <alignment horizontal="center" vertical="center" wrapText="1"/>
      <protection hidden="1"/>
    </xf>
    <xf numFmtId="0" fontId="14" fillId="33" borderId="9" xfId="24" applyFont="1" applyFill="1" applyBorder="1" applyAlignment="1" applyProtection="1">
      <alignment horizontal="center" vertical="center" wrapText="1"/>
      <protection hidden="1"/>
    </xf>
    <xf numFmtId="0" fontId="14" fillId="33" borderId="18" xfId="24" applyFont="1" applyFill="1" applyBorder="1" applyAlignment="1" applyProtection="1">
      <alignment horizontal="center" vertical="center" wrapText="1"/>
      <protection hidden="1"/>
    </xf>
    <xf numFmtId="0" fontId="14" fillId="34" borderId="61" xfId="24" applyFont="1" applyFill="1" applyBorder="1" applyAlignment="1" applyProtection="1">
      <alignment horizontal="center" vertical="center" wrapText="1"/>
      <protection hidden="1"/>
    </xf>
    <xf numFmtId="0" fontId="14" fillId="7" borderId="13" xfId="24" applyFont="1" applyFill="1" applyBorder="1" applyAlignment="1" applyProtection="1">
      <alignment horizontal="center" vertical="center" wrapText="1"/>
      <protection hidden="1"/>
    </xf>
    <xf numFmtId="0" fontId="14" fillId="7" borderId="43" xfId="24" applyFont="1" applyFill="1" applyBorder="1" applyAlignment="1" applyProtection="1">
      <alignment horizontal="center" vertical="center" wrapText="1"/>
      <protection hidden="1"/>
    </xf>
    <xf numFmtId="0" fontId="14" fillId="7" borderId="44" xfId="24" applyFont="1" applyFill="1" applyBorder="1" applyAlignment="1" applyProtection="1">
      <alignment horizontal="center" vertical="center" wrapText="1"/>
      <protection hidden="1"/>
    </xf>
    <xf numFmtId="172" fontId="14" fillId="7" borderId="2" xfId="24" applyNumberFormat="1" applyFont="1" applyFill="1" applyBorder="1" applyAlignment="1" applyProtection="1">
      <alignment horizontal="center" vertical="center" wrapText="1"/>
      <protection hidden="1"/>
    </xf>
    <xf numFmtId="0" fontId="14" fillId="28" borderId="4" xfId="24" applyFont="1" applyFill="1" applyBorder="1" applyAlignment="1" applyProtection="1">
      <alignment horizontal="center" vertical="center" wrapText="1"/>
      <protection hidden="1"/>
    </xf>
    <xf numFmtId="0" fontId="14" fillId="28" borderId="69" xfId="24" applyFont="1" applyFill="1" applyBorder="1" applyAlignment="1" applyProtection="1">
      <alignment horizontal="center" vertical="center" wrapText="1"/>
      <protection hidden="1"/>
    </xf>
    <xf numFmtId="0" fontId="14" fillId="29" borderId="69" xfId="24" applyFont="1" applyFill="1" applyBorder="1" applyAlignment="1" applyProtection="1">
      <alignment horizontal="center" vertical="center" wrapText="1"/>
      <protection hidden="1"/>
    </xf>
    <xf numFmtId="0" fontId="14" fillId="30" borderId="69" xfId="24" applyFont="1" applyFill="1" applyBorder="1" applyAlignment="1" applyProtection="1">
      <alignment horizontal="center" vertical="center" wrapText="1"/>
      <protection hidden="1"/>
    </xf>
    <xf numFmtId="0" fontId="14" fillId="31" borderId="69" xfId="24" applyFont="1" applyFill="1" applyBorder="1" applyAlignment="1" applyProtection="1">
      <alignment horizontal="center" vertical="center" wrapText="1"/>
      <protection hidden="1"/>
    </xf>
    <xf numFmtId="0" fontId="14" fillId="32" borderId="69" xfId="24" applyFont="1" applyFill="1" applyBorder="1" applyAlignment="1" applyProtection="1">
      <alignment horizontal="center" vertical="center" wrapText="1"/>
      <protection hidden="1"/>
    </xf>
    <xf numFmtId="0" fontId="14" fillId="33" borderId="69" xfId="24" applyFont="1" applyFill="1" applyBorder="1" applyAlignment="1" applyProtection="1">
      <alignment horizontal="center" vertical="center" wrapText="1"/>
      <protection hidden="1"/>
    </xf>
    <xf numFmtId="0" fontId="14" fillId="33" borderId="2" xfId="24" applyFont="1" applyFill="1" applyBorder="1" applyAlignment="1" applyProtection="1">
      <alignment horizontal="center" vertical="center" wrapText="1"/>
      <protection hidden="1"/>
    </xf>
    <xf numFmtId="0" fontId="14" fillId="34" borderId="63" xfId="24" applyFont="1" applyFill="1" applyBorder="1" applyAlignment="1" applyProtection="1">
      <alignment horizontal="center" vertical="center" wrapText="1"/>
      <protection hidden="1"/>
    </xf>
    <xf numFmtId="0" fontId="55" fillId="24" borderId="8" xfId="24" applyFont="1" applyFill="1" applyBorder="1" applyAlignment="1" applyProtection="1">
      <alignment horizontal="center" vertical="center" wrapText="1"/>
      <protection hidden="1"/>
    </xf>
    <xf numFmtId="168" fontId="56" fillId="4" borderId="28" xfId="26" applyNumberFormat="1" applyFont="1" applyFill="1" applyBorder="1" applyAlignment="1" applyProtection="1">
      <alignment vertical="center"/>
      <protection hidden="1"/>
    </xf>
    <xf numFmtId="168" fontId="56" fillId="0" borderId="27" xfId="26" applyNumberFormat="1" applyFont="1" applyFill="1" applyBorder="1" applyAlignment="1" applyProtection="1">
      <alignment vertical="center"/>
      <protection hidden="1"/>
    </xf>
    <xf numFmtId="44" fontId="56" fillId="5" borderId="26" xfId="27" applyFont="1" applyFill="1" applyBorder="1" applyAlignment="1" applyProtection="1">
      <alignment horizontal="center" vertical="center"/>
      <protection hidden="1"/>
    </xf>
    <xf numFmtId="168" fontId="56" fillId="4" borderId="19" xfId="26" applyNumberFormat="1" applyFont="1" applyFill="1" applyBorder="1" applyAlignment="1" applyProtection="1">
      <alignment vertical="center"/>
      <protection hidden="1"/>
    </xf>
    <xf numFmtId="168" fontId="56" fillId="0" borderId="1" xfId="26" applyNumberFormat="1" applyFont="1" applyFill="1" applyBorder="1" applyAlignment="1" applyProtection="1">
      <alignment vertical="center"/>
      <protection hidden="1"/>
    </xf>
    <xf numFmtId="0" fontId="55" fillId="24" borderId="3" xfId="24" applyFont="1" applyFill="1" applyBorder="1" applyAlignment="1" applyProtection="1">
      <alignment horizontal="center" vertical="center" wrapText="1"/>
      <protection hidden="1"/>
    </xf>
    <xf numFmtId="168" fontId="56" fillId="4" borderId="43" xfId="26" applyNumberFormat="1" applyFont="1" applyFill="1" applyBorder="1" applyAlignment="1" applyProtection="1">
      <alignment vertical="center"/>
      <protection hidden="1"/>
    </xf>
    <xf numFmtId="168" fontId="56" fillId="0" borderId="44" xfId="26" applyNumberFormat="1" applyFont="1" applyFill="1" applyBorder="1" applyAlignment="1" applyProtection="1">
      <alignment vertical="center"/>
      <protection hidden="1"/>
    </xf>
    <xf numFmtId="44" fontId="56" fillId="5" borderId="40" xfId="27" applyFont="1" applyFill="1" applyBorder="1" applyAlignment="1" applyProtection="1">
      <alignment horizontal="center" vertical="center"/>
      <protection hidden="1"/>
    </xf>
    <xf numFmtId="168" fontId="55" fillId="11" borderId="38" xfId="26" applyNumberFormat="1" applyFont="1" applyFill="1" applyBorder="1" applyAlignment="1" applyProtection="1">
      <alignment horizontal="right" vertical="center"/>
      <protection hidden="1"/>
    </xf>
    <xf numFmtId="44" fontId="55" fillId="11" borderId="39" xfId="27" applyFont="1" applyFill="1" applyBorder="1" applyAlignment="1" applyProtection="1">
      <alignment horizontal="center" vertical="center"/>
      <protection hidden="1"/>
    </xf>
    <xf numFmtId="168" fontId="55" fillId="4" borderId="39" xfId="26" applyNumberFormat="1" applyFont="1" applyFill="1" applyBorder="1" applyAlignment="1" applyProtection="1">
      <alignment horizontal="right" vertical="center"/>
      <protection hidden="1"/>
    </xf>
    <xf numFmtId="3" fontId="55" fillId="11" borderId="39" xfId="24" applyNumberFormat="1" applyFont="1" applyFill="1" applyBorder="1" applyAlignment="1" applyProtection="1">
      <alignment horizontal="center" vertical="center"/>
      <protection hidden="1"/>
    </xf>
    <xf numFmtId="172" fontId="55" fillId="11" borderId="40" xfId="24" applyNumberFormat="1" applyFont="1" applyFill="1" applyBorder="1" applyAlignment="1" applyProtection="1">
      <alignment horizontal="center" vertical="center"/>
      <protection hidden="1"/>
    </xf>
    <xf numFmtId="3" fontId="55" fillId="11" borderId="6" xfId="24" applyNumberFormat="1" applyFont="1" applyFill="1" applyBorder="1" applyAlignment="1" applyProtection="1">
      <alignment horizontal="center" vertical="center"/>
      <protection hidden="1"/>
    </xf>
    <xf numFmtId="3" fontId="55" fillId="11" borderId="33" xfId="24" applyNumberFormat="1" applyFont="1" applyFill="1" applyBorder="1" applyAlignment="1" applyProtection="1">
      <alignment vertical="center"/>
      <protection hidden="1"/>
    </xf>
    <xf numFmtId="168" fontId="55" fillId="11" borderId="33" xfId="26" applyNumberFormat="1" applyFont="1" applyFill="1" applyBorder="1" applyAlignment="1" applyProtection="1">
      <alignment horizontal="center" vertical="center"/>
      <protection hidden="1"/>
    </xf>
    <xf numFmtId="3" fontId="55" fillId="11" borderId="33" xfId="24" applyNumberFormat="1" applyFont="1" applyFill="1" applyBorder="1" applyAlignment="1" applyProtection="1">
      <alignment horizontal="center" vertical="center"/>
      <protection hidden="1"/>
    </xf>
    <xf numFmtId="4" fontId="55" fillId="11" borderId="41" xfId="24" applyNumberFormat="1" applyFont="1" applyFill="1" applyBorder="1" applyAlignment="1" applyProtection="1">
      <alignment vertical="center"/>
      <protection hidden="1"/>
    </xf>
    <xf numFmtId="179" fontId="55" fillId="11" borderId="5" xfId="26" applyNumberFormat="1" applyFont="1" applyFill="1" applyBorder="1" applyAlignment="1" applyProtection="1">
      <alignment horizontal="center" vertical="center"/>
      <protection hidden="1"/>
    </xf>
    <xf numFmtId="0" fontId="14" fillId="7" borderId="54" xfId="24" applyFont="1" applyFill="1" applyBorder="1" applyAlignment="1" applyProtection="1">
      <alignment horizontal="center" vertical="center" wrapText="1"/>
      <protection hidden="1"/>
    </xf>
    <xf numFmtId="0" fontId="14" fillId="7" borderId="31" xfId="24" applyFont="1" applyFill="1" applyBorder="1" applyAlignment="1" applyProtection="1">
      <alignment horizontal="center" vertical="center" wrapText="1"/>
      <protection hidden="1"/>
    </xf>
    <xf numFmtId="0" fontId="14" fillId="7" borderId="30" xfId="24" applyFont="1" applyFill="1" applyBorder="1" applyAlignment="1" applyProtection="1">
      <alignment horizontal="center" vertical="center" wrapText="1"/>
      <protection hidden="1"/>
    </xf>
    <xf numFmtId="0" fontId="14" fillId="7" borderId="29" xfId="24" applyFont="1" applyFill="1" applyBorder="1" applyAlignment="1" applyProtection="1">
      <alignment horizontal="center" vertical="center" wrapText="1"/>
      <protection hidden="1"/>
    </xf>
    <xf numFmtId="0" fontId="14" fillId="8" borderId="29" xfId="24" applyFont="1" applyFill="1" applyBorder="1" applyAlignment="1" applyProtection="1">
      <alignment horizontal="center" vertical="center" wrapText="1"/>
      <protection hidden="1"/>
    </xf>
    <xf numFmtId="0" fontId="14" fillId="8" borderId="59" xfId="24" applyFont="1" applyFill="1" applyBorder="1" applyAlignment="1" applyProtection="1">
      <alignment horizontal="center" vertical="center" wrapText="1"/>
      <protection hidden="1"/>
    </xf>
    <xf numFmtId="0" fontId="14" fillId="7" borderId="39" xfId="24" applyFont="1" applyFill="1" applyBorder="1" applyAlignment="1" applyProtection="1">
      <alignment horizontal="center" vertical="center" wrapText="1"/>
      <protection hidden="1"/>
    </xf>
    <xf numFmtId="0" fontId="14" fillId="7" borderId="82" xfId="24" applyFont="1" applyFill="1" applyBorder="1" applyAlignment="1" applyProtection="1">
      <alignment horizontal="center" vertical="center" wrapText="1"/>
      <protection hidden="1"/>
    </xf>
    <xf numFmtId="0" fontId="14" fillId="7" borderId="40" xfId="24" applyFont="1" applyFill="1" applyBorder="1" applyAlignment="1" applyProtection="1">
      <alignment horizontal="center" vertical="center" wrapText="1"/>
      <protection hidden="1"/>
    </xf>
    <xf numFmtId="0" fontId="14" fillId="7" borderId="67" xfId="24" applyFont="1" applyFill="1" applyBorder="1" applyAlignment="1" applyProtection="1">
      <alignment horizontal="center" vertical="center" wrapText="1"/>
      <protection hidden="1"/>
    </xf>
    <xf numFmtId="0" fontId="14" fillId="7" borderId="4" xfId="24" applyFont="1" applyFill="1" applyBorder="1" applyAlignment="1" applyProtection="1">
      <alignment horizontal="center" vertical="center" wrapText="1"/>
      <protection hidden="1"/>
    </xf>
    <xf numFmtId="0" fontId="14" fillId="7" borderId="2" xfId="24" applyFont="1" applyFill="1" applyBorder="1" applyAlignment="1" applyProtection="1">
      <alignment horizontal="center" vertical="center" wrapText="1"/>
      <protection hidden="1"/>
    </xf>
    <xf numFmtId="0" fontId="14" fillId="8" borderId="63" xfId="24" applyFont="1" applyFill="1" applyBorder="1" applyAlignment="1" applyProtection="1">
      <alignment horizontal="center" vertical="center" wrapText="1"/>
      <protection hidden="1"/>
    </xf>
    <xf numFmtId="168" fontId="56" fillId="4" borderId="27" xfId="26" applyNumberFormat="1" applyFont="1" applyFill="1" applyBorder="1" applyAlignment="1" applyProtection="1">
      <alignment vertical="center"/>
      <protection hidden="1"/>
    </xf>
    <xf numFmtId="182" fontId="56" fillId="0" borderId="27" xfId="26" applyNumberFormat="1" applyFont="1" applyFill="1" applyBorder="1" applyAlignment="1" applyProtection="1">
      <alignment vertical="center"/>
      <protection hidden="1"/>
    </xf>
    <xf numFmtId="44" fontId="56" fillId="0" borderId="26" xfId="27" applyFont="1" applyFill="1" applyBorder="1" applyAlignment="1" applyProtection="1">
      <alignment vertical="center"/>
      <protection hidden="1"/>
    </xf>
    <xf numFmtId="183" fontId="56" fillId="0" borderId="32" xfId="2" applyNumberFormat="1" applyFont="1" applyBorder="1" applyAlignment="1" applyProtection="1">
      <alignment vertical="center"/>
      <protection hidden="1"/>
    </xf>
    <xf numFmtId="183" fontId="56" fillId="7" borderId="55" xfId="2" applyNumberFormat="1" applyFont="1" applyFill="1" applyBorder="1" applyAlignment="1" applyProtection="1">
      <alignment vertical="center"/>
      <protection hidden="1"/>
    </xf>
    <xf numFmtId="183" fontId="56" fillId="7" borderId="29" xfId="2" applyNumberFormat="1" applyFont="1" applyFill="1" applyBorder="1" applyAlignment="1" applyProtection="1">
      <alignment vertical="center"/>
      <protection hidden="1"/>
    </xf>
    <xf numFmtId="172" fontId="56" fillId="0" borderId="54" xfId="2" applyNumberFormat="1" applyFont="1" applyBorder="1" applyAlignment="1" applyProtection="1">
      <alignment vertical="center"/>
      <protection hidden="1"/>
    </xf>
    <xf numFmtId="171" fontId="56" fillId="7" borderId="31" xfId="2" applyNumberFormat="1" applyFont="1" applyFill="1" applyBorder="1" applyAlignment="1" applyProtection="1">
      <alignment vertical="center"/>
      <protection hidden="1"/>
    </xf>
    <xf numFmtId="171" fontId="56" fillId="7" borderId="29" xfId="2" applyNumberFormat="1" applyFont="1" applyFill="1" applyBorder="1" applyAlignment="1" applyProtection="1">
      <alignment vertical="center"/>
      <protection hidden="1"/>
    </xf>
    <xf numFmtId="44" fontId="56" fillId="0" borderId="59" xfId="27" applyFont="1" applyBorder="1" applyAlignment="1" applyProtection="1">
      <alignment vertical="center"/>
      <protection hidden="1"/>
    </xf>
    <xf numFmtId="182" fontId="56" fillId="0" borderId="1" xfId="26" applyNumberFormat="1" applyFont="1" applyFill="1" applyBorder="1" applyAlignment="1" applyProtection="1">
      <alignment vertical="center"/>
      <protection hidden="1"/>
    </xf>
    <xf numFmtId="44" fontId="56" fillId="0" borderId="18" xfId="27" applyFont="1" applyFill="1" applyBorder="1" applyAlignment="1" applyProtection="1">
      <alignment vertical="center"/>
      <protection hidden="1"/>
    </xf>
    <xf numFmtId="183" fontId="56" fillId="0" borderId="28" xfId="2" applyNumberFormat="1" applyFont="1" applyBorder="1" applyAlignment="1" applyProtection="1">
      <alignment vertical="center"/>
      <protection hidden="1"/>
    </xf>
    <xf numFmtId="183" fontId="56" fillId="7" borderId="68" xfId="2" applyNumberFormat="1" applyFont="1" applyFill="1" applyBorder="1" applyAlignment="1" applyProtection="1">
      <alignment vertical="center"/>
      <protection hidden="1"/>
    </xf>
    <xf numFmtId="183" fontId="56" fillId="7" borderId="18" xfId="2" applyNumberFormat="1" applyFont="1" applyFill="1" applyBorder="1" applyAlignment="1" applyProtection="1">
      <alignment vertical="center"/>
      <protection hidden="1"/>
    </xf>
    <xf numFmtId="172" fontId="56" fillId="0" borderId="21" xfId="2" applyNumberFormat="1" applyFont="1" applyBorder="1" applyAlignment="1" applyProtection="1">
      <alignment vertical="center"/>
      <protection hidden="1"/>
    </xf>
    <xf numFmtId="171" fontId="56" fillId="7" borderId="27" xfId="2" applyNumberFormat="1" applyFont="1" applyFill="1" applyBorder="1" applyAlignment="1" applyProtection="1">
      <alignment vertical="center"/>
      <protection hidden="1"/>
    </xf>
    <xf numFmtId="171" fontId="56" fillId="7" borderId="18" xfId="2" applyNumberFormat="1" applyFont="1" applyFill="1" applyBorder="1" applyAlignment="1" applyProtection="1">
      <alignment vertical="center"/>
      <protection hidden="1"/>
    </xf>
    <xf numFmtId="44" fontId="56" fillId="0" borderId="80" xfId="27" applyFont="1" applyBorder="1" applyAlignment="1" applyProtection="1">
      <alignment vertical="center"/>
      <protection hidden="1"/>
    </xf>
    <xf numFmtId="182" fontId="56" fillId="0" borderId="44" xfId="26" applyNumberFormat="1" applyFont="1" applyFill="1" applyBorder="1" applyAlignment="1" applyProtection="1">
      <alignment vertical="center"/>
      <protection hidden="1"/>
    </xf>
    <xf numFmtId="44" fontId="56" fillId="0" borderId="2" xfId="27" applyFont="1" applyFill="1" applyBorder="1" applyAlignment="1" applyProtection="1">
      <alignment vertical="center"/>
      <protection hidden="1"/>
    </xf>
    <xf numFmtId="183" fontId="56" fillId="7" borderId="28" xfId="2" applyNumberFormat="1" applyFont="1" applyFill="1" applyBorder="1" applyAlignment="1" applyProtection="1">
      <alignment vertical="center"/>
      <protection hidden="1"/>
    </xf>
    <xf numFmtId="183" fontId="56" fillId="0" borderId="44" xfId="2" applyNumberFormat="1" applyFont="1" applyBorder="1" applyAlignment="1" applyProtection="1">
      <alignment vertical="center"/>
      <protection hidden="1"/>
    </xf>
    <xf numFmtId="179" fontId="56" fillId="4" borderId="2" xfId="2" applyNumberFormat="1" applyFont="1" applyFill="1" applyBorder="1" applyAlignment="1" applyProtection="1">
      <alignment vertical="center"/>
      <protection hidden="1"/>
    </xf>
    <xf numFmtId="183" fontId="56" fillId="0" borderId="2" xfId="2" applyNumberFormat="1" applyFont="1" applyBorder="1" applyAlignment="1" applyProtection="1">
      <alignment vertical="center"/>
      <protection hidden="1"/>
    </xf>
    <xf numFmtId="172" fontId="56" fillId="0" borderId="68" xfId="2" applyNumberFormat="1" applyFont="1" applyBorder="1" applyAlignment="1" applyProtection="1">
      <alignment vertical="center"/>
      <protection hidden="1"/>
    </xf>
    <xf numFmtId="172" fontId="56" fillId="0" borderId="39" xfId="2" applyNumberFormat="1" applyFont="1" applyBorder="1" applyAlignment="1" applyProtection="1">
      <alignment vertical="center"/>
      <protection hidden="1"/>
    </xf>
    <xf numFmtId="172" fontId="56" fillId="0" borderId="2" xfId="2" applyNumberFormat="1" applyFont="1" applyBorder="1" applyAlignment="1" applyProtection="1">
      <alignment vertical="center"/>
      <protection hidden="1"/>
    </xf>
    <xf numFmtId="44" fontId="56" fillId="0" borderId="22" xfId="27" applyFont="1" applyBorder="1" applyAlignment="1" applyProtection="1">
      <alignment vertical="center"/>
      <protection hidden="1"/>
    </xf>
    <xf numFmtId="172" fontId="55" fillId="11" borderId="34" xfId="24" applyNumberFormat="1" applyFont="1" applyFill="1" applyBorder="1" applyAlignment="1" applyProtection="1">
      <alignment horizontal="center" vertical="center"/>
      <protection hidden="1"/>
    </xf>
    <xf numFmtId="168" fontId="55" fillId="11" borderId="6" xfId="26" applyNumberFormat="1" applyFont="1" applyFill="1" applyBorder="1" applyAlignment="1" applyProtection="1">
      <alignment horizontal="right" vertical="center"/>
      <protection hidden="1"/>
    </xf>
    <xf numFmtId="172" fontId="55" fillId="11" borderId="6" xfId="24" applyNumberFormat="1" applyFont="1" applyFill="1" applyBorder="1" applyAlignment="1" applyProtection="1">
      <alignment horizontal="center" vertical="center"/>
      <protection hidden="1"/>
    </xf>
    <xf numFmtId="3" fontId="55" fillId="11" borderId="6" xfId="26" applyNumberFormat="1" applyFont="1" applyFill="1" applyBorder="1" applyAlignment="1" applyProtection="1">
      <alignment horizontal="right" vertical="center"/>
      <protection hidden="1"/>
    </xf>
    <xf numFmtId="44" fontId="55" fillId="11" borderId="42" xfId="27" applyFont="1" applyFill="1" applyBorder="1" applyAlignment="1" applyProtection="1">
      <alignment horizontal="right" vertical="center"/>
      <protection hidden="1"/>
    </xf>
    <xf numFmtId="179" fontId="55" fillId="11" borderId="73" xfId="24" applyNumberFormat="1" applyFont="1" applyFill="1" applyBorder="1" applyAlignment="1" applyProtection="1">
      <alignment horizontal="right" vertical="center"/>
      <protection hidden="1"/>
    </xf>
    <xf numFmtId="44" fontId="55" fillId="11" borderId="34" xfId="27" applyFont="1" applyFill="1" applyBorder="1" applyAlignment="1" applyProtection="1">
      <alignment horizontal="center" vertical="center"/>
      <protection hidden="1"/>
    </xf>
    <xf numFmtId="44" fontId="55" fillId="11" borderId="5" xfId="27" applyFont="1" applyFill="1" applyBorder="1" applyAlignment="1" applyProtection="1">
      <alignment horizontal="center" vertical="center"/>
      <protection hidden="1"/>
    </xf>
    <xf numFmtId="44" fontId="55" fillId="11" borderId="16" xfId="27" applyFont="1" applyFill="1" applyBorder="1" applyAlignment="1" applyProtection="1">
      <alignment vertical="center"/>
      <protection hidden="1"/>
    </xf>
    <xf numFmtId="184" fontId="55" fillId="0" borderId="0" xfId="24" applyNumberFormat="1" applyFont="1" applyAlignment="1" applyProtection="1">
      <alignment horizontal="left" vertical="top" wrapText="1"/>
      <protection hidden="1"/>
    </xf>
    <xf numFmtId="0" fontId="33" fillId="9" borderId="7" xfId="24" applyFont="1" applyFill="1" applyBorder="1" applyAlignment="1" applyProtection="1">
      <alignment vertical="center"/>
      <protection hidden="1"/>
    </xf>
    <xf numFmtId="0" fontId="14" fillId="7" borderId="62" xfId="24" applyFont="1" applyFill="1" applyBorder="1" applyAlignment="1" applyProtection="1">
      <alignment horizontal="center" vertical="center" wrapText="1"/>
      <protection hidden="1"/>
    </xf>
    <xf numFmtId="0" fontId="14" fillId="7" borderId="9" xfId="24" applyFont="1" applyFill="1" applyBorder="1" applyAlignment="1" applyProtection="1">
      <alignment horizontal="center" vertical="center" wrapText="1"/>
      <protection hidden="1"/>
    </xf>
    <xf numFmtId="0" fontId="56" fillId="24" borderId="19" xfId="24" applyFont="1" applyFill="1" applyBorder="1" applyAlignment="1" applyProtection="1">
      <alignment horizontal="center" vertical="center" wrapText="1"/>
      <protection hidden="1"/>
    </xf>
    <xf numFmtId="0" fontId="61" fillId="24" borderId="9" xfId="24" applyFont="1" applyFill="1" applyBorder="1" applyAlignment="1" applyProtection="1">
      <alignment horizontal="center" vertical="center" wrapText="1"/>
      <protection hidden="1"/>
    </xf>
    <xf numFmtId="170" fontId="62" fillId="4" borderId="1" xfId="26" applyNumberFormat="1" applyFont="1" applyFill="1" applyBorder="1" applyAlignment="1" applyProtection="1">
      <alignment vertical="center" wrapText="1"/>
      <protection hidden="1"/>
    </xf>
    <xf numFmtId="168" fontId="56" fillId="0" borderId="77" xfId="26" applyNumberFormat="1" applyFont="1" applyFill="1" applyBorder="1" applyAlignment="1" applyProtection="1">
      <alignment vertical="center"/>
      <protection hidden="1"/>
    </xf>
    <xf numFmtId="168" fontId="55" fillId="11" borderId="34" xfId="26" applyNumberFormat="1" applyFont="1" applyFill="1" applyBorder="1" applyAlignment="1" applyProtection="1">
      <alignment horizontal="right" vertical="center"/>
      <protection hidden="1"/>
    </xf>
    <xf numFmtId="44" fontId="55" fillId="11" borderId="33" xfId="27" applyFont="1" applyFill="1" applyBorder="1" applyAlignment="1" applyProtection="1">
      <alignment horizontal="center" vertical="center"/>
      <protection hidden="1"/>
    </xf>
    <xf numFmtId="168" fontId="55" fillId="11" borderId="33" xfId="26" applyNumberFormat="1" applyFont="1" applyFill="1" applyBorder="1" applyAlignment="1" applyProtection="1">
      <alignment horizontal="right" vertical="center"/>
      <protection hidden="1"/>
    </xf>
    <xf numFmtId="172" fontId="55" fillId="11" borderId="5" xfId="24" applyNumberFormat="1" applyFont="1" applyFill="1" applyBorder="1" applyAlignment="1" applyProtection="1">
      <alignment horizontal="center" vertical="center"/>
      <protection hidden="1"/>
    </xf>
    <xf numFmtId="0" fontId="14" fillId="7" borderId="55" xfId="24" applyFont="1" applyFill="1" applyBorder="1" applyAlignment="1" applyProtection="1">
      <alignment horizontal="center" vertical="center" wrapText="1"/>
      <protection hidden="1"/>
    </xf>
    <xf numFmtId="0" fontId="14" fillId="7" borderId="3" xfId="24" applyFont="1" applyFill="1" applyBorder="1" applyAlignment="1" applyProtection="1">
      <alignment horizontal="center" vertical="center" wrapText="1"/>
      <protection hidden="1"/>
    </xf>
    <xf numFmtId="170" fontId="56" fillId="0" borderId="1" xfId="26" applyNumberFormat="1" applyFont="1" applyFill="1" applyBorder="1" applyAlignment="1" applyProtection="1">
      <alignment horizontal="center" vertical="center" wrapText="1"/>
      <protection hidden="1"/>
    </xf>
    <xf numFmtId="3" fontId="56" fillId="0" borderId="27" xfId="2" applyNumberFormat="1" applyFont="1" applyBorder="1" applyAlignment="1" applyProtection="1">
      <alignment vertical="center"/>
      <protection hidden="1"/>
    </xf>
    <xf numFmtId="182" fontId="56" fillId="0" borderId="27" xfId="2" applyNumberFormat="1" applyFont="1" applyBorder="1" applyAlignment="1" applyProtection="1">
      <alignment vertical="center"/>
      <protection hidden="1"/>
    </xf>
    <xf numFmtId="3" fontId="55" fillId="11" borderId="6" xfId="24" applyNumberFormat="1" applyFont="1" applyFill="1" applyBorder="1" applyAlignment="1" applyProtection="1">
      <alignment horizontal="right" vertical="center"/>
      <protection hidden="1"/>
    </xf>
    <xf numFmtId="182" fontId="55" fillId="11" borderId="6" xfId="24" applyNumberFormat="1" applyFont="1" applyFill="1" applyBorder="1" applyAlignment="1" applyProtection="1">
      <alignment horizontal="right" vertical="center"/>
      <protection hidden="1"/>
    </xf>
    <xf numFmtId="183" fontId="55" fillId="11" borderId="34" xfId="24" applyNumberFormat="1" applyFont="1" applyFill="1" applyBorder="1" applyAlignment="1" applyProtection="1">
      <alignment horizontal="right" vertical="center"/>
      <protection hidden="1"/>
    </xf>
    <xf numFmtId="183" fontId="55" fillId="11" borderId="73" xfId="24" applyNumberFormat="1" applyFont="1" applyFill="1" applyBorder="1" applyAlignment="1" applyProtection="1">
      <alignment horizontal="right" vertical="center"/>
      <protection hidden="1"/>
    </xf>
    <xf numFmtId="168" fontId="55" fillId="0" borderId="0" xfId="24" applyNumberFormat="1" applyFont="1" applyAlignment="1" applyProtection="1">
      <alignment horizontal="left" vertical="top" wrapText="1"/>
      <protection hidden="1"/>
    </xf>
    <xf numFmtId="0" fontId="11" fillId="25" borderId="19" xfId="24" applyFont="1" applyFill="1" applyBorder="1" applyAlignment="1" applyProtection="1">
      <alignment horizontal="center" vertical="center" wrapText="1"/>
      <protection hidden="1"/>
    </xf>
    <xf numFmtId="0" fontId="11" fillId="10" borderId="1" xfId="24" applyFont="1" applyFill="1" applyBorder="1" applyAlignment="1" applyProtection="1">
      <alignment horizontal="center" vertical="center" wrapText="1"/>
      <protection hidden="1"/>
    </xf>
    <xf numFmtId="0" fontId="11" fillId="35" borderId="1" xfId="24" applyFont="1" applyFill="1" applyBorder="1" applyAlignment="1" applyProtection="1">
      <alignment horizontal="center" vertical="center" wrapText="1"/>
      <protection hidden="1"/>
    </xf>
    <xf numFmtId="0" fontId="11" fillId="22" borderId="1" xfId="24" applyFont="1" applyFill="1" applyBorder="1" applyAlignment="1" applyProtection="1">
      <alignment horizontal="center" vertical="center" wrapText="1"/>
      <protection hidden="1"/>
    </xf>
    <xf numFmtId="0" fontId="11" fillId="11" borderId="1" xfId="24" applyFont="1" applyFill="1" applyBorder="1" applyAlignment="1" applyProtection="1">
      <alignment horizontal="center" vertical="center" wrapText="1"/>
      <protection hidden="1"/>
    </xf>
    <xf numFmtId="0" fontId="11" fillId="27" borderId="1" xfId="24" applyFont="1" applyFill="1" applyBorder="1" applyAlignment="1" applyProtection="1">
      <alignment horizontal="center" vertical="center" wrapText="1"/>
      <protection hidden="1"/>
    </xf>
    <xf numFmtId="0" fontId="14" fillId="7" borderId="18" xfId="24" applyFont="1" applyFill="1" applyBorder="1" applyAlignment="1" applyProtection="1">
      <alignment horizontal="center" vertical="center" wrapText="1"/>
      <protection hidden="1"/>
    </xf>
    <xf numFmtId="0" fontId="29" fillId="7" borderId="19" xfId="24" applyFont="1" applyFill="1" applyBorder="1" applyAlignment="1" applyProtection="1">
      <alignment horizontal="center" vertical="center" wrapText="1"/>
      <protection hidden="1"/>
    </xf>
    <xf numFmtId="0" fontId="29" fillId="7" borderId="1" xfId="24" applyFont="1" applyFill="1" applyBorder="1" applyAlignment="1" applyProtection="1">
      <alignment horizontal="center" vertical="center" wrapText="1"/>
      <protection hidden="1"/>
    </xf>
    <xf numFmtId="0" fontId="29" fillId="7" borderId="18" xfId="24" applyFont="1" applyFill="1" applyBorder="1" applyAlignment="1" applyProtection="1">
      <alignment horizontal="center" vertical="center" wrapText="1"/>
      <protection hidden="1"/>
    </xf>
    <xf numFmtId="0" fontId="11" fillId="27" borderId="18" xfId="24" applyFont="1" applyFill="1" applyBorder="1" applyAlignment="1" applyProtection="1">
      <alignment horizontal="center" vertical="center" wrapText="1"/>
      <protection hidden="1"/>
    </xf>
    <xf numFmtId="0" fontId="14" fillId="7" borderId="61" xfId="24" applyFont="1" applyFill="1" applyBorder="1" applyAlignment="1" applyProtection="1">
      <alignment horizontal="center" vertical="center" wrapText="1"/>
      <protection hidden="1"/>
    </xf>
    <xf numFmtId="0" fontId="11" fillId="25" borderId="28" xfId="24" applyFont="1" applyFill="1" applyBorder="1" applyAlignment="1" applyProtection="1">
      <alignment horizontal="center" vertical="center" wrapText="1"/>
      <protection hidden="1"/>
    </xf>
    <xf numFmtId="0" fontId="11" fillId="10" borderId="27" xfId="24" applyFont="1" applyFill="1" applyBorder="1" applyAlignment="1" applyProtection="1">
      <alignment horizontal="center" vertical="center" wrapText="1"/>
      <protection hidden="1"/>
    </xf>
    <xf numFmtId="0" fontId="11" fillId="35" borderId="27" xfId="24" applyFont="1" applyFill="1" applyBorder="1" applyAlignment="1" applyProtection="1">
      <alignment horizontal="center" vertical="center" wrapText="1"/>
      <protection hidden="1"/>
    </xf>
    <xf numFmtId="0" fontId="11" fillId="22" borderId="27" xfId="24" applyFont="1" applyFill="1" applyBorder="1" applyAlignment="1" applyProtection="1">
      <alignment horizontal="center" vertical="center" wrapText="1"/>
      <protection hidden="1"/>
    </xf>
    <xf numFmtId="0" fontId="11" fillId="11" borderId="27" xfId="24" applyFont="1" applyFill="1" applyBorder="1" applyAlignment="1" applyProtection="1">
      <alignment horizontal="center" vertical="center" wrapText="1"/>
      <protection hidden="1"/>
    </xf>
    <xf numFmtId="0" fontId="11" fillId="27" borderId="27" xfId="24" applyFont="1" applyFill="1" applyBorder="1" applyAlignment="1" applyProtection="1">
      <alignment horizontal="center" vertical="center" wrapText="1"/>
      <protection hidden="1"/>
    </xf>
    <xf numFmtId="0" fontId="14" fillId="7" borderId="26" xfId="24" applyFont="1" applyFill="1" applyBorder="1" applyAlignment="1" applyProtection="1">
      <alignment horizontal="center" vertical="center" wrapText="1"/>
      <protection hidden="1"/>
    </xf>
    <xf numFmtId="0" fontId="11" fillId="27" borderId="26" xfId="24" applyFont="1" applyFill="1" applyBorder="1" applyAlignment="1" applyProtection="1">
      <alignment horizontal="center" vertical="center" wrapText="1"/>
      <protection hidden="1"/>
    </xf>
    <xf numFmtId="0" fontId="14" fillId="7" borderId="60" xfId="24" applyFont="1" applyFill="1" applyBorder="1" applyAlignment="1" applyProtection="1">
      <alignment horizontal="center" vertical="center" wrapText="1"/>
      <protection hidden="1"/>
    </xf>
    <xf numFmtId="0" fontId="11" fillId="24" borderId="19" xfId="24" applyFont="1" applyFill="1" applyBorder="1" applyAlignment="1" applyProtection="1">
      <alignment horizontal="center" vertical="center"/>
      <protection hidden="1"/>
    </xf>
    <xf numFmtId="0" fontId="11" fillId="24" borderId="53" xfId="24" applyFont="1" applyFill="1" applyBorder="1" applyAlignment="1" applyProtection="1">
      <alignment horizontal="center" vertical="center" wrapText="1"/>
      <protection hidden="1"/>
    </xf>
    <xf numFmtId="168" fontId="63" fillId="4" borderId="19" xfId="26" applyNumberFormat="1" applyFont="1" applyFill="1" applyBorder="1" applyAlignment="1" applyProtection="1">
      <alignment vertical="center"/>
      <protection hidden="1"/>
    </xf>
    <xf numFmtId="168" fontId="63" fillId="4" borderId="1" xfId="26" applyNumberFormat="1" applyFont="1" applyFill="1" applyBorder="1" applyAlignment="1" applyProtection="1">
      <alignment vertical="center"/>
      <protection hidden="1"/>
    </xf>
    <xf numFmtId="168" fontId="63" fillId="4" borderId="77" xfId="26" applyNumberFormat="1" applyFont="1" applyFill="1" applyBorder="1" applyAlignment="1" applyProtection="1">
      <alignment vertical="center"/>
      <protection hidden="1"/>
    </xf>
    <xf numFmtId="168" fontId="16" fillId="0" borderId="20" xfId="26" applyNumberFormat="1" applyFont="1" applyFill="1" applyBorder="1" applyAlignment="1" applyProtection="1">
      <alignment vertical="center"/>
      <protection hidden="1"/>
    </xf>
    <xf numFmtId="185" fontId="63" fillId="4" borderId="19" xfId="24" applyNumberFormat="1" applyFont="1" applyFill="1" applyBorder="1" applyAlignment="1" applyProtection="1">
      <alignment horizontal="center" vertical="center"/>
      <protection hidden="1"/>
    </xf>
    <xf numFmtId="185" fontId="63" fillId="4" borderId="1" xfId="24" applyNumberFormat="1" applyFont="1" applyFill="1" applyBorder="1" applyAlignment="1" applyProtection="1">
      <alignment horizontal="center" vertical="center"/>
      <protection hidden="1"/>
    </xf>
    <xf numFmtId="185" fontId="61" fillId="24" borderId="18" xfId="24" applyNumberFormat="1" applyFont="1" applyFill="1" applyBorder="1" applyAlignment="1" applyProtection="1">
      <alignment horizontal="center" vertical="center"/>
      <protection hidden="1"/>
    </xf>
    <xf numFmtId="175" fontId="61" fillId="0" borderId="77" xfId="26" applyNumberFormat="1" applyFont="1" applyFill="1" applyBorder="1" applyAlignment="1" applyProtection="1">
      <alignment vertical="center"/>
      <protection hidden="1"/>
    </xf>
    <xf numFmtId="175" fontId="61" fillId="0" borderId="20" xfId="26" applyNumberFormat="1" applyFont="1" applyFill="1" applyBorder="1" applyAlignment="1" applyProtection="1">
      <alignment vertical="center"/>
      <protection hidden="1"/>
    </xf>
    <xf numFmtId="175" fontId="16" fillId="24" borderId="20" xfId="26" applyNumberFormat="1" applyFont="1" applyFill="1" applyBorder="1" applyAlignment="1" applyProtection="1">
      <alignment vertical="center"/>
      <protection hidden="1"/>
    </xf>
    <xf numFmtId="172" fontId="16" fillId="24" borderId="60" xfId="26" applyNumberFormat="1" applyFont="1" applyFill="1" applyBorder="1" applyAlignment="1" applyProtection="1">
      <alignment vertical="center"/>
      <protection hidden="1"/>
    </xf>
    <xf numFmtId="185" fontId="63" fillId="7" borderId="19" xfId="24" applyNumberFormat="1" applyFont="1" applyFill="1" applyBorder="1" applyAlignment="1" applyProtection="1">
      <alignment horizontal="center" vertical="center"/>
      <protection hidden="1"/>
    </xf>
    <xf numFmtId="0" fontId="11" fillId="24" borderId="62" xfId="24" applyFont="1" applyFill="1" applyBorder="1" applyAlignment="1" applyProtection="1">
      <alignment horizontal="center" vertical="center" wrapText="1"/>
      <protection hidden="1"/>
    </xf>
    <xf numFmtId="168" fontId="63" fillId="4" borderId="57" xfId="26" applyNumberFormat="1" applyFont="1" applyFill="1" applyBorder="1" applyAlignment="1" applyProtection="1">
      <alignment vertical="center"/>
      <protection hidden="1"/>
    </xf>
    <xf numFmtId="168" fontId="63" fillId="4" borderId="35" xfId="26" applyNumberFormat="1" applyFont="1" applyFill="1" applyBorder="1" applyAlignment="1" applyProtection="1">
      <alignment vertical="center"/>
      <protection hidden="1"/>
    </xf>
    <xf numFmtId="168" fontId="63" fillId="4" borderId="66" xfId="26" applyNumberFormat="1" applyFont="1" applyFill="1" applyBorder="1" applyAlignment="1" applyProtection="1">
      <alignment vertical="center"/>
      <protection hidden="1"/>
    </xf>
    <xf numFmtId="185" fontId="63" fillId="4" borderId="43" xfId="24" applyNumberFormat="1" applyFont="1" applyFill="1" applyBorder="1" applyAlignment="1" applyProtection="1">
      <alignment horizontal="center" vertical="center"/>
      <protection hidden="1"/>
    </xf>
    <xf numFmtId="185" fontId="63" fillId="4" borderId="44" xfId="24" applyNumberFormat="1" applyFont="1" applyFill="1" applyBorder="1" applyAlignment="1" applyProtection="1">
      <alignment horizontal="center" vertical="center"/>
      <protection hidden="1"/>
    </xf>
    <xf numFmtId="185" fontId="61" fillId="24" borderId="2" xfId="24" applyNumberFormat="1" applyFont="1" applyFill="1" applyBorder="1" applyAlignment="1" applyProtection="1">
      <alignment horizontal="center" vertical="center"/>
      <protection hidden="1"/>
    </xf>
    <xf numFmtId="175" fontId="61" fillId="0" borderId="66" xfId="26" applyNumberFormat="1" applyFont="1" applyFill="1" applyBorder="1" applyAlignment="1" applyProtection="1">
      <alignment vertical="center"/>
      <protection hidden="1"/>
    </xf>
    <xf numFmtId="175" fontId="61" fillId="0" borderId="52" xfId="26" applyNumberFormat="1" applyFont="1" applyFill="1" applyBorder="1" applyAlignment="1" applyProtection="1">
      <alignment vertical="center"/>
      <protection hidden="1"/>
    </xf>
    <xf numFmtId="172" fontId="16" fillId="24" borderId="80" xfId="26" applyNumberFormat="1" applyFont="1" applyFill="1" applyBorder="1" applyAlignment="1" applyProtection="1">
      <alignment vertical="center"/>
      <protection hidden="1"/>
    </xf>
    <xf numFmtId="0" fontId="19" fillId="11" borderId="62" xfId="24" applyFont="1" applyFill="1" applyBorder="1" applyAlignment="1" applyProtection="1">
      <alignment vertical="center"/>
      <protection hidden="1"/>
    </xf>
    <xf numFmtId="0" fontId="11" fillId="24" borderId="78" xfId="24" applyFont="1" applyFill="1" applyBorder="1" applyAlignment="1" applyProtection="1">
      <alignment horizontal="center" vertical="center" wrapText="1"/>
      <protection hidden="1"/>
    </xf>
    <xf numFmtId="168" fontId="62" fillId="4" borderId="36" xfId="26" applyNumberFormat="1" applyFont="1" applyFill="1" applyBorder="1" applyAlignment="1" applyProtection="1">
      <alignment horizontal="right" vertical="center"/>
      <protection hidden="1"/>
    </xf>
    <xf numFmtId="168" fontId="62" fillId="4" borderId="37" xfId="26" applyNumberFormat="1" applyFont="1" applyFill="1" applyBorder="1" applyAlignment="1" applyProtection="1">
      <alignment horizontal="right" vertical="center"/>
      <protection hidden="1"/>
    </xf>
    <xf numFmtId="168" fontId="62" fillId="4" borderId="81" xfId="26" applyNumberFormat="1" applyFont="1" applyFill="1" applyBorder="1" applyAlignment="1" applyProtection="1">
      <alignment horizontal="right" vertical="center"/>
      <protection hidden="1"/>
    </xf>
    <xf numFmtId="168" fontId="55" fillId="11" borderId="72" xfId="26" applyNumberFormat="1" applyFont="1" applyFill="1" applyBorder="1" applyAlignment="1" applyProtection="1">
      <alignment horizontal="right" vertical="center"/>
      <protection hidden="1"/>
    </xf>
    <xf numFmtId="185" fontId="63" fillId="4" borderId="57" xfId="24" applyNumberFormat="1" applyFont="1" applyFill="1" applyBorder="1" applyAlignment="1" applyProtection="1">
      <alignment horizontal="center" vertical="center"/>
      <protection hidden="1"/>
    </xf>
    <xf numFmtId="185" fontId="63" fillId="4" borderId="35" xfId="24" applyNumberFormat="1" applyFont="1" applyFill="1" applyBorder="1" applyAlignment="1" applyProtection="1">
      <alignment horizontal="center" vertical="center"/>
      <protection hidden="1"/>
    </xf>
    <xf numFmtId="185" fontId="61" fillId="24" borderId="58" xfId="24" applyNumberFormat="1" applyFont="1" applyFill="1" applyBorder="1" applyAlignment="1" applyProtection="1">
      <alignment horizontal="center" vertical="center"/>
      <protection hidden="1"/>
    </xf>
    <xf numFmtId="175" fontId="61" fillId="0" borderId="36" xfId="26" applyNumberFormat="1" applyFont="1" applyFill="1" applyBorder="1" applyAlignment="1" applyProtection="1">
      <alignment vertical="center"/>
      <protection hidden="1"/>
    </xf>
    <xf numFmtId="175" fontId="61" fillId="0" borderId="75" xfId="26" applyNumberFormat="1" applyFont="1" applyFill="1" applyBorder="1" applyAlignment="1" applyProtection="1">
      <alignment vertical="center"/>
      <protection hidden="1"/>
    </xf>
    <xf numFmtId="175" fontId="61" fillId="0" borderId="72" xfId="26" applyNumberFormat="1" applyFont="1" applyFill="1" applyBorder="1" applyAlignment="1" applyProtection="1">
      <alignment vertical="center"/>
      <protection hidden="1"/>
    </xf>
    <xf numFmtId="175" fontId="55" fillId="24" borderId="72" xfId="26" applyNumberFormat="1" applyFont="1" applyFill="1" applyBorder="1" applyAlignment="1" applyProtection="1">
      <alignment horizontal="right" vertical="center"/>
      <protection hidden="1"/>
    </xf>
    <xf numFmtId="172" fontId="16" fillId="24" borderId="16" xfId="26" applyNumberFormat="1" applyFont="1" applyFill="1" applyBorder="1" applyAlignment="1" applyProtection="1">
      <alignment vertical="center"/>
      <protection hidden="1"/>
    </xf>
    <xf numFmtId="0" fontId="19" fillId="11" borderId="4" xfId="24" applyFont="1" applyFill="1" applyBorder="1" applyAlignment="1" applyProtection="1">
      <alignment vertical="center"/>
      <protection hidden="1"/>
    </xf>
    <xf numFmtId="0" fontId="11" fillId="24" borderId="34" xfId="24" applyFont="1" applyFill="1" applyBorder="1" applyAlignment="1" applyProtection="1">
      <alignment horizontal="center" vertical="center" wrapText="1"/>
      <protection hidden="1"/>
    </xf>
    <xf numFmtId="168" fontId="56" fillId="7" borderId="33" xfId="26" applyNumberFormat="1" applyFont="1" applyFill="1" applyBorder="1" applyAlignment="1" applyProtection="1">
      <alignment horizontal="right" vertical="center"/>
      <protection hidden="1"/>
    </xf>
    <xf numFmtId="168" fontId="55" fillId="7" borderId="33" xfId="26" applyNumberFormat="1" applyFont="1" applyFill="1" applyBorder="1" applyAlignment="1" applyProtection="1">
      <alignment horizontal="right" vertical="center"/>
      <protection hidden="1"/>
    </xf>
    <xf numFmtId="185" fontId="63" fillId="7" borderId="33" xfId="24" applyNumberFormat="1" applyFont="1" applyFill="1" applyBorder="1" applyAlignment="1" applyProtection="1">
      <alignment horizontal="center" vertical="center"/>
      <protection hidden="1"/>
    </xf>
    <xf numFmtId="185" fontId="61" fillId="7" borderId="33" xfId="24" applyNumberFormat="1" applyFont="1" applyFill="1" applyBorder="1" applyAlignment="1" applyProtection="1">
      <alignment horizontal="center" vertical="center"/>
      <protection hidden="1"/>
    </xf>
    <xf numFmtId="175" fontId="61" fillId="0" borderId="33" xfId="26" applyNumberFormat="1" applyFont="1" applyFill="1" applyBorder="1" applyAlignment="1" applyProtection="1">
      <alignment vertical="center"/>
      <protection hidden="1"/>
    </xf>
    <xf numFmtId="175" fontId="55" fillId="7" borderId="5" xfId="26" applyNumberFormat="1" applyFont="1" applyFill="1" applyBorder="1" applyAlignment="1" applyProtection="1">
      <alignment vertical="center"/>
      <protection hidden="1"/>
    </xf>
    <xf numFmtId="172" fontId="16" fillId="7" borderId="64" xfId="26" applyNumberFormat="1" applyFont="1" applyFill="1" applyBorder="1" applyAlignment="1" applyProtection="1">
      <alignment vertical="center"/>
      <protection hidden="1"/>
    </xf>
    <xf numFmtId="168" fontId="11" fillId="0" borderId="0" xfId="24" applyNumberFormat="1" applyFont="1" applyAlignment="1" applyProtection="1">
      <alignment vertical="center"/>
      <protection hidden="1"/>
    </xf>
    <xf numFmtId="44" fontId="55" fillId="0" borderId="0" xfId="29" applyFont="1" applyFill="1" applyBorder="1" applyAlignment="1" applyProtection="1">
      <alignment horizontal="left" vertical="top" wrapText="1"/>
      <protection hidden="1"/>
    </xf>
    <xf numFmtId="186" fontId="55" fillId="0" borderId="0" xfId="24" applyNumberFormat="1" applyFont="1" applyAlignment="1" applyProtection="1">
      <alignment horizontal="left" vertical="top" wrapText="1"/>
      <protection hidden="1"/>
    </xf>
    <xf numFmtId="184" fontId="24" fillId="0" borderId="0" xfId="24" applyNumberFormat="1" applyFont="1" applyAlignment="1" applyProtection="1">
      <alignment vertical="center"/>
      <protection hidden="1"/>
    </xf>
    <xf numFmtId="0" fontId="29" fillId="7" borderId="28" xfId="24" applyFont="1" applyFill="1" applyBorder="1" applyAlignment="1" applyProtection="1">
      <alignment horizontal="center" vertical="center" wrapText="1"/>
      <protection hidden="1"/>
    </xf>
    <xf numFmtId="0" fontId="29" fillId="7" borderId="10" xfId="24" applyFont="1" applyFill="1" applyBorder="1" applyAlignment="1" applyProtection="1">
      <alignment horizontal="center" vertical="center" wrapText="1"/>
      <protection hidden="1"/>
    </xf>
    <xf numFmtId="0" fontId="14" fillId="7" borderId="59" xfId="24" applyFont="1" applyFill="1" applyBorder="1" applyAlignment="1" applyProtection="1">
      <alignment horizontal="center" vertical="center" wrapText="1"/>
      <protection hidden="1"/>
    </xf>
    <xf numFmtId="0" fontId="14" fillId="7" borderId="21" xfId="24" applyFont="1" applyFill="1" applyBorder="1" applyAlignment="1" applyProtection="1">
      <alignment horizontal="center" vertical="center" wrapText="1"/>
      <protection hidden="1"/>
    </xf>
    <xf numFmtId="0" fontId="14" fillId="7" borderId="10" xfId="24" applyFont="1" applyFill="1" applyBorder="1" applyAlignment="1" applyProtection="1">
      <alignment horizontal="center" vertical="center" wrapText="1"/>
      <protection hidden="1"/>
    </xf>
    <xf numFmtId="0" fontId="14" fillId="7" borderId="51" xfId="24" applyFont="1" applyFill="1" applyBorder="1" applyAlignment="1" applyProtection="1">
      <alignment horizontal="center" vertical="center" wrapText="1"/>
      <protection hidden="1"/>
    </xf>
    <xf numFmtId="0" fontId="14" fillId="7" borderId="11" xfId="24" applyFont="1" applyFill="1" applyBorder="1" applyAlignment="1" applyProtection="1">
      <alignment horizontal="center" vertical="center" wrapText="1"/>
      <protection hidden="1"/>
    </xf>
    <xf numFmtId="175" fontId="16" fillId="24" borderId="19" xfId="24" applyNumberFormat="1" applyFont="1" applyFill="1" applyBorder="1" applyAlignment="1" applyProtection="1">
      <alignment horizontal="center" vertical="center"/>
      <protection hidden="1"/>
    </xf>
    <xf numFmtId="44" fontId="56" fillId="24" borderId="10" xfId="27" applyFont="1" applyFill="1" applyBorder="1" applyAlignment="1" applyProtection="1">
      <alignment horizontal="center" vertical="center"/>
      <protection hidden="1"/>
    </xf>
    <xf numFmtId="169" fontId="56" fillId="24" borderId="61" xfId="26" applyNumberFormat="1" applyFont="1" applyFill="1" applyBorder="1" applyAlignment="1" applyProtection="1">
      <alignment horizontal="center" vertical="center"/>
      <protection hidden="1"/>
    </xf>
    <xf numFmtId="183" fontId="56" fillId="7" borderId="31" xfId="2" applyNumberFormat="1" applyFont="1" applyFill="1" applyBorder="1" applyAlignment="1" applyProtection="1">
      <alignment vertical="center"/>
      <protection hidden="1"/>
    </xf>
    <xf numFmtId="172" fontId="56" fillId="0" borderId="55" xfId="2" applyNumberFormat="1" applyFont="1" applyBorder="1" applyAlignment="1" applyProtection="1">
      <alignment vertical="center"/>
      <protection hidden="1"/>
    </xf>
    <xf numFmtId="172" fontId="56" fillId="24" borderId="53" xfId="24" applyNumberFormat="1" applyFont="1" applyFill="1" applyBorder="1" applyAlignment="1" applyProtection="1">
      <alignment horizontal="center" vertical="center"/>
      <protection hidden="1"/>
    </xf>
    <xf numFmtId="183" fontId="56" fillId="0" borderId="19" xfId="2" applyNumberFormat="1" applyFont="1" applyBorder="1" applyAlignment="1" applyProtection="1">
      <alignment vertical="center"/>
      <protection hidden="1"/>
    </xf>
    <xf numFmtId="183" fontId="56" fillId="7" borderId="1" xfId="2" applyNumberFormat="1" applyFont="1" applyFill="1" applyBorder="1" applyAlignment="1" applyProtection="1">
      <alignment vertical="center"/>
      <protection hidden="1"/>
    </xf>
    <xf numFmtId="175" fontId="16" fillId="24" borderId="43" xfId="24" applyNumberFormat="1" applyFont="1" applyFill="1" applyBorder="1" applyAlignment="1" applyProtection="1">
      <alignment horizontal="center" vertical="center"/>
      <protection hidden="1"/>
    </xf>
    <xf numFmtId="44" fontId="56" fillId="24" borderId="82" xfId="27" applyFont="1" applyFill="1" applyBorder="1" applyAlignment="1" applyProtection="1">
      <alignment horizontal="center" vertical="center"/>
      <protection hidden="1"/>
    </xf>
    <xf numFmtId="169" fontId="56" fillId="24" borderId="63" xfId="26" applyNumberFormat="1" applyFont="1" applyFill="1" applyBorder="1" applyAlignment="1" applyProtection="1">
      <alignment horizontal="center" vertical="center"/>
      <protection hidden="1"/>
    </xf>
    <xf numFmtId="183" fontId="56" fillId="7" borderId="43" xfId="2" applyNumberFormat="1" applyFont="1" applyFill="1" applyBorder="1" applyAlignment="1" applyProtection="1">
      <alignment vertical="center"/>
      <protection hidden="1"/>
    </xf>
    <xf numFmtId="0" fontId="19" fillId="11" borderId="83" xfId="24" applyFont="1" applyFill="1" applyBorder="1" applyAlignment="1" applyProtection="1">
      <alignment horizontal="center" vertical="center"/>
      <protection hidden="1"/>
    </xf>
    <xf numFmtId="175" fontId="16" fillId="24" borderId="4" xfId="24" applyNumberFormat="1" applyFont="1" applyFill="1" applyBorder="1" applyAlignment="1" applyProtection="1">
      <alignment horizontal="center" vertical="center"/>
      <protection hidden="1"/>
    </xf>
    <xf numFmtId="44" fontId="56" fillId="24" borderId="16" xfId="27" applyFont="1" applyFill="1" applyBorder="1" applyAlignment="1" applyProtection="1">
      <alignment horizontal="center" vertical="center"/>
      <protection hidden="1"/>
    </xf>
    <xf numFmtId="187" fontId="55" fillId="11" borderId="42" xfId="26" applyNumberFormat="1" applyFont="1" applyFill="1" applyBorder="1" applyAlignment="1" applyProtection="1">
      <alignment horizontal="center" vertical="center"/>
      <protection hidden="1"/>
    </xf>
    <xf numFmtId="183" fontId="55" fillId="11" borderId="38" xfId="24" applyNumberFormat="1" applyFont="1" applyFill="1" applyBorder="1" applyAlignment="1" applyProtection="1">
      <alignment horizontal="right" vertical="center"/>
      <protection hidden="1"/>
    </xf>
    <xf numFmtId="183" fontId="55" fillId="11" borderId="85" xfId="24" applyNumberFormat="1" applyFont="1" applyFill="1" applyBorder="1" applyAlignment="1" applyProtection="1">
      <alignment horizontal="right" vertical="center"/>
      <protection hidden="1"/>
    </xf>
    <xf numFmtId="44" fontId="55" fillId="11" borderId="7" xfId="27" applyFont="1" applyFill="1" applyBorder="1" applyAlignment="1" applyProtection="1">
      <alignment horizontal="center" vertical="center"/>
      <protection hidden="1"/>
    </xf>
    <xf numFmtId="0" fontId="14" fillId="7" borderId="52" xfId="24" applyFont="1" applyFill="1" applyBorder="1" applyAlignment="1" applyProtection="1">
      <alignment vertical="center" wrapText="1"/>
      <protection hidden="1"/>
    </xf>
    <xf numFmtId="0" fontId="14" fillId="7" borderId="79" xfId="24" applyFont="1" applyFill="1" applyBorder="1" applyAlignment="1" applyProtection="1">
      <alignment horizontal="center" vertical="center" wrapText="1"/>
      <protection hidden="1"/>
    </xf>
    <xf numFmtId="0" fontId="11" fillId="0" borderId="0" xfId="24" applyFont="1" applyAlignment="1" applyProtection="1">
      <alignment vertical="center" wrapText="1"/>
      <protection hidden="1"/>
    </xf>
    <xf numFmtId="0" fontId="14" fillId="7" borderId="69" xfId="24" applyFont="1" applyFill="1" applyBorder="1" applyAlignment="1" applyProtection="1">
      <alignment vertical="center" wrapText="1"/>
      <protection hidden="1"/>
    </xf>
    <xf numFmtId="0" fontId="14" fillId="7" borderId="2" xfId="24" applyFont="1" applyFill="1" applyBorder="1" applyAlignment="1" applyProtection="1">
      <alignment vertical="center" wrapText="1"/>
      <protection hidden="1"/>
    </xf>
    <xf numFmtId="0" fontId="14" fillId="7" borderId="57" xfId="24" applyFont="1" applyFill="1" applyBorder="1" applyAlignment="1" applyProtection="1">
      <alignment horizontal="center" vertical="center" wrapText="1"/>
      <protection hidden="1"/>
    </xf>
    <xf numFmtId="0" fontId="14" fillId="7" borderId="35" xfId="24" applyFont="1" applyFill="1" applyBorder="1" applyAlignment="1" applyProtection="1">
      <alignment horizontal="center" vertical="center" wrapText="1"/>
      <protection hidden="1"/>
    </xf>
    <xf numFmtId="172" fontId="14" fillId="7" borderId="58" xfId="24" applyNumberFormat="1" applyFont="1" applyFill="1" applyBorder="1" applyAlignment="1" applyProtection="1">
      <alignment horizontal="center" vertical="center" wrapText="1"/>
      <protection hidden="1"/>
    </xf>
    <xf numFmtId="0" fontId="14" fillId="7" borderId="86" xfId="24" applyFont="1" applyFill="1" applyBorder="1" applyAlignment="1" applyProtection="1">
      <alignment horizontal="center" vertical="center" wrapText="1"/>
      <protection hidden="1"/>
    </xf>
    <xf numFmtId="0" fontId="55" fillId="24" borderId="32" xfId="24" applyFont="1" applyFill="1" applyBorder="1" applyAlignment="1" applyProtection="1">
      <alignment horizontal="center" vertical="center" wrapText="1"/>
      <protection hidden="1"/>
    </xf>
    <xf numFmtId="0" fontId="55" fillId="24" borderId="30" xfId="24" applyFont="1" applyFill="1" applyBorder="1" applyAlignment="1" applyProtection="1">
      <alignment vertical="center" wrapText="1"/>
      <protection hidden="1"/>
    </xf>
    <xf numFmtId="0" fontId="55" fillId="4" borderId="29" xfId="24" applyFont="1" applyFill="1" applyBorder="1" applyAlignment="1" applyProtection="1">
      <alignment horizontal="center" vertical="center" wrapText="1"/>
      <protection hidden="1"/>
    </xf>
    <xf numFmtId="168" fontId="56" fillId="4" borderId="32" xfId="26" applyNumberFormat="1" applyFont="1" applyFill="1" applyBorder="1" applyAlignment="1" applyProtection="1">
      <alignment vertical="center"/>
      <protection hidden="1"/>
    </xf>
    <xf numFmtId="44" fontId="56" fillId="5" borderId="29" xfId="27" applyFont="1" applyFill="1" applyBorder="1" applyAlignment="1" applyProtection="1">
      <alignment horizontal="center" vertical="center"/>
      <protection hidden="1"/>
    </xf>
    <xf numFmtId="3" fontId="56" fillId="0" borderId="28" xfId="2" applyNumberFormat="1" applyFont="1" applyBorder="1" applyAlignment="1" applyProtection="1">
      <alignment vertical="center"/>
      <protection hidden="1"/>
    </xf>
    <xf numFmtId="183" fontId="56" fillId="0" borderId="55" xfId="2" applyNumberFormat="1" applyFont="1" applyBorder="1" applyAlignment="1" applyProtection="1">
      <alignment vertical="center"/>
      <protection hidden="1"/>
    </xf>
    <xf numFmtId="183" fontId="56" fillId="4" borderId="29" xfId="2" applyNumberFormat="1" applyFont="1" applyFill="1" applyBorder="1" applyAlignment="1" applyProtection="1">
      <alignment vertical="center"/>
      <protection hidden="1"/>
    </xf>
    <xf numFmtId="44" fontId="56" fillId="0" borderId="54" xfId="29" applyFont="1" applyFill="1" applyBorder="1" applyAlignment="1" applyProtection="1">
      <alignment vertical="center"/>
      <protection hidden="1"/>
    </xf>
    <xf numFmtId="44" fontId="56" fillId="0" borderId="31" xfId="29" applyFont="1" applyFill="1" applyBorder="1" applyAlignment="1" applyProtection="1">
      <alignment vertical="center"/>
      <protection hidden="1"/>
    </xf>
    <xf numFmtId="44" fontId="56" fillId="0" borderId="29" xfId="29" applyFont="1" applyFill="1" applyBorder="1" applyAlignment="1" applyProtection="1">
      <alignment vertical="center"/>
      <protection hidden="1"/>
    </xf>
    <xf numFmtId="0" fontId="55" fillId="24" borderId="43" xfId="24" applyFont="1" applyFill="1" applyBorder="1" applyAlignment="1" applyProtection="1">
      <alignment horizontal="center" vertical="center" wrapText="1"/>
      <protection hidden="1"/>
    </xf>
    <xf numFmtId="0" fontId="55" fillId="24" borderId="69" xfId="24" applyFont="1" applyFill="1" applyBorder="1" applyAlignment="1" applyProtection="1">
      <alignment vertical="center" wrapText="1"/>
      <protection hidden="1"/>
    </xf>
    <xf numFmtId="0" fontId="55" fillId="4" borderId="2" xfId="24" applyFont="1" applyFill="1" applyBorder="1" applyAlignment="1" applyProtection="1">
      <alignment horizontal="center" vertical="center" wrapText="1"/>
      <protection hidden="1"/>
    </xf>
    <xf numFmtId="44" fontId="56" fillId="0" borderId="21" xfId="29" applyFont="1" applyFill="1" applyBorder="1" applyAlignment="1" applyProtection="1">
      <alignment vertical="center"/>
      <protection hidden="1"/>
    </xf>
    <xf numFmtId="44" fontId="56" fillId="7" borderId="27" xfId="29" applyFont="1" applyFill="1" applyBorder="1" applyAlignment="1" applyProtection="1">
      <alignment vertical="center"/>
      <protection hidden="1"/>
    </xf>
    <xf numFmtId="44" fontId="56" fillId="7" borderId="18" xfId="29" applyFont="1" applyFill="1" applyBorder="1" applyAlignment="1" applyProtection="1">
      <alignment vertical="center"/>
      <protection hidden="1"/>
    </xf>
    <xf numFmtId="168" fontId="55" fillId="11" borderId="73" xfId="26" applyNumberFormat="1" applyFont="1" applyFill="1" applyBorder="1" applyAlignment="1" applyProtection="1">
      <alignment horizontal="right" vertical="center"/>
      <protection hidden="1"/>
    </xf>
    <xf numFmtId="44" fontId="55" fillId="11" borderId="16" xfId="27" applyFont="1" applyFill="1" applyBorder="1" applyAlignment="1" applyProtection="1">
      <alignment horizontal="right" vertical="center"/>
      <protection hidden="1"/>
    </xf>
    <xf numFmtId="3" fontId="55" fillId="11" borderId="34" xfId="24" applyNumberFormat="1" applyFont="1" applyFill="1" applyBorder="1" applyAlignment="1" applyProtection="1">
      <alignment horizontal="right" vertical="center"/>
      <protection hidden="1"/>
    </xf>
    <xf numFmtId="44" fontId="55" fillId="11" borderId="34" xfId="29" applyFont="1" applyFill="1" applyBorder="1" applyAlignment="1" applyProtection="1">
      <alignment horizontal="center" vertical="center"/>
      <protection hidden="1"/>
    </xf>
    <xf numFmtId="44" fontId="55" fillId="11" borderId="5" xfId="29" applyFont="1" applyFill="1" applyBorder="1" applyAlignment="1" applyProtection="1">
      <alignment horizontal="center" vertical="center"/>
      <protection hidden="1"/>
    </xf>
    <xf numFmtId="0" fontId="14" fillId="7" borderId="14" xfId="24" applyFont="1" applyFill="1" applyBorder="1" applyAlignment="1" applyProtection="1">
      <alignment vertical="center" wrapText="1"/>
      <protection hidden="1"/>
    </xf>
    <xf numFmtId="0" fontId="14" fillId="7" borderId="87" xfId="24" applyFont="1" applyFill="1" applyBorder="1" applyAlignment="1" applyProtection="1">
      <alignment vertical="center" wrapText="1"/>
      <protection hidden="1"/>
    </xf>
    <xf numFmtId="0" fontId="55" fillId="24" borderId="31" xfId="24" applyFont="1" applyFill="1" applyBorder="1" applyAlignment="1" applyProtection="1">
      <alignment vertical="center" wrapText="1"/>
      <protection hidden="1"/>
    </xf>
    <xf numFmtId="170" fontId="62" fillId="4" borderId="29" xfId="26" applyNumberFormat="1" applyFont="1" applyFill="1" applyBorder="1" applyAlignment="1" applyProtection="1">
      <alignment horizontal="center" vertical="center" wrapText="1"/>
      <protection hidden="1"/>
    </xf>
    <xf numFmtId="168" fontId="56" fillId="0" borderId="32" xfId="26" applyNumberFormat="1" applyFont="1" applyFill="1" applyBorder="1" applyAlignment="1" applyProtection="1">
      <alignment vertical="center"/>
      <protection hidden="1"/>
    </xf>
    <xf numFmtId="183" fontId="56" fillId="0" borderId="29" xfId="2" applyNumberFormat="1" applyFont="1" applyBorder="1" applyAlignment="1" applyProtection="1">
      <alignment vertical="center"/>
      <protection hidden="1"/>
    </xf>
    <xf numFmtId="0" fontId="55" fillId="24" borderId="44" xfId="24" applyFont="1" applyFill="1" applyBorder="1" applyAlignment="1" applyProtection="1">
      <alignment vertical="center" wrapText="1"/>
      <protection hidden="1"/>
    </xf>
    <xf numFmtId="170" fontId="62" fillId="4" borderId="2" xfId="26" applyNumberFormat="1" applyFont="1" applyFill="1" applyBorder="1" applyAlignment="1" applyProtection="1">
      <alignment horizontal="center" vertical="center" wrapText="1"/>
      <protection hidden="1"/>
    </xf>
    <xf numFmtId="168" fontId="56" fillId="0" borderId="43" xfId="26" applyNumberFormat="1" applyFont="1" applyFill="1" applyBorder="1" applyAlignment="1" applyProtection="1">
      <alignment vertical="center"/>
      <protection hidden="1"/>
    </xf>
    <xf numFmtId="0" fontId="14" fillId="7" borderId="66" xfId="24" applyFont="1" applyFill="1" applyBorder="1" applyAlignment="1" applyProtection="1">
      <alignment horizontal="center" vertical="center" wrapText="1"/>
      <protection hidden="1"/>
    </xf>
    <xf numFmtId="0" fontId="14" fillId="8" borderId="64" xfId="24" applyFont="1" applyFill="1" applyBorder="1" applyAlignment="1" applyProtection="1">
      <alignment horizontal="center" vertical="center" wrapText="1"/>
      <protection hidden="1"/>
    </xf>
    <xf numFmtId="0" fontId="55" fillId="24" borderId="30" xfId="24" applyFont="1" applyFill="1" applyBorder="1" applyAlignment="1" applyProtection="1">
      <alignment horizontal="center" vertical="center" wrapText="1"/>
      <protection hidden="1"/>
    </xf>
    <xf numFmtId="179" fontId="56" fillId="0" borderId="55" xfId="2" applyNumberFormat="1" applyFont="1" applyBorder="1" applyAlignment="1" applyProtection="1">
      <alignment vertical="center"/>
      <protection hidden="1"/>
    </xf>
    <xf numFmtId="179" fontId="56" fillId="0" borderId="29" xfId="2" applyNumberFormat="1" applyFont="1" applyBorder="1" applyAlignment="1" applyProtection="1">
      <alignment vertical="center"/>
      <protection hidden="1"/>
    </xf>
    <xf numFmtId="0" fontId="55" fillId="24" borderId="69" xfId="24" applyFont="1" applyFill="1" applyBorder="1" applyAlignment="1" applyProtection="1">
      <alignment horizontal="center" vertical="center" wrapText="1"/>
      <protection hidden="1"/>
    </xf>
    <xf numFmtId="179" fontId="56" fillId="0" borderId="68" xfId="2" applyNumberFormat="1" applyFont="1" applyBorder="1" applyAlignment="1" applyProtection="1">
      <alignment vertical="center"/>
      <protection hidden="1"/>
    </xf>
    <xf numFmtId="179" fontId="56" fillId="7" borderId="68" xfId="2" applyNumberFormat="1" applyFont="1" applyFill="1" applyBorder="1" applyAlignment="1" applyProtection="1">
      <alignment vertical="center"/>
      <protection hidden="1"/>
    </xf>
    <xf numFmtId="179" fontId="56" fillId="7" borderId="18" xfId="2" applyNumberFormat="1" applyFont="1" applyFill="1" applyBorder="1" applyAlignment="1" applyProtection="1">
      <alignment vertical="center"/>
      <protection hidden="1"/>
    </xf>
    <xf numFmtId="44" fontId="56" fillId="0" borderId="60" xfId="27" applyFont="1" applyBorder="1" applyAlignment="1" applyProtection="1">
      <alignment vertical="center"/>
      <protection hidden="1"/>
    </xf>
    <xf numFmtId="0" fontId="19" fillId="11" borderId="67" xfId="24" applyFont="1" applyFill="1" applyBorder="1" applyAlignment="1" applyProtection="1">
      <alignment vertical="center"/>
      <protection hidden="1"/>
    </xf>
    <xf numFmtId="0" fontId="19" fillId="11" borderId="85" xfId="24" applyFont="1" applyFill="1" applyBorder="1" applyAlignment="1" applyProtection="1">
      <alignment vertical="center"/>
      <protection hidden="1"/>
    </xf>
    <xf numFmtId="0" fontId="60" fillId="10" borderId="7" xfId="24" applyFont="1" applyFill="1" applyBorder="1" applyAlignment="1" applyProtection="1">
      <alignment vertical="top"/>
      <protection hidden="1"/>
    </xf>
    <xf numFmtId="0" fontId="60" fillId="10" borderId="73" xfId="24" applyFont="1" applyFill="1" applyBorder="1" applyAlignment="1" applyProtection="1">
      <alignment vertical="top"/>
      <protection hidden="1"/>
    </xf>
    <xf numFmtId="0" fontId="60" fillId="10" borderId="42" xfId="24" applyFont="1" applyFill="1" applyBorder="1" applyAlignment="1" applyProtection="1">
      <alignment vertical="top"/>
      <protection hidden="1"/>
    </xf>
    <xf numFmtId="172" fontId="14" fillId="7" borderId="81" xfId="24" applyNumberFormat="1" applyFont="1" applyFill="1" applyBorder="1" applyAlignment="1" applyProtection="1">
      <alignment horizontal="center" vertical="center" wrapText="1"/>
      <protection hidden="1"/>
    </xf>
    <xf numFmtId="0" fontId="14" fillId="7" borderId="63" xfId="24" applyFont="1" applyFill="1" applyBorder="1" applyAlignment="1" applyProtection="1">
      <alignment horizontal="center" vertical="center" wrapText="1"/>
      <protection hidden="1"/>
    </xf>
    <xf numFmtId="0" fontId="55" fillId="24" borderId="54" xfId="24" applyFont="1" applyFill="1" applyBorder="1" applyAlignment="1" applyProtection="1">
      <alignment horizontal="center" vertical="center" wrapText="1"/>
      <protection hidden="1"/>
    </xf>
    <xf numFmtId="44" fontId="56" fillId="4" borderId="29" xfId="27" applyFont="1" applyFill="1" applyBorder="1" applyAlignment="1" applyProtection="1">
      <alignment horizontal="center" vertical="center"/>
      <protection hidden="1"/>
    </xf>
    <xf numFmtId="44" fontId="56" fillId="0" borderId="59" xfId="27" applyFont="1" applyFill="1" applyBorder="1" applyAlignment="1" applyProtection="1">
      <alignment vertical="center"/>
      <protection hidden="1"/>
    </xf>
    <xf numFmtId="44" fontId="56" fillId="0" borderId="59" xfId="29" applyFont="1" applyFill="1" applyBorder="1" applyAlignment="1" applyProtection="1">
      <alignment vertical="center"/>
      <protection hidden="1"/>
    </xf>
    <xf numFmtId="44" fontId="56" fillId="4" borderId="59" xfId="27" applyFont="1" applyFill="1" applyBorder="1" applyAlignment="1" applyProtection="1">
      <alignment vertical="center"/>
      <protection hidden="1"/>
    </xf>
    <xf numFmtId="0" fontId="19" fillId="11" borderId="67" xfId="24" applyFont="1" applyFill="1" applyBorder="1" applyAlignment="1" applyProtection="1">
      <alignment horizontal="center" vertical="center"/>
      <protection hidden="1"/>
    </xf>
    <xf numFmtId="44" fontId="55" fillId="11" borderId="64" xfId="27" applyFont="1" applyFill="1" applyBorder="1" applyAlignment="1" applyProtection="1">
      <alignment horizontal="right" vertical="center"/>
      <protection hidden="1"/>
    </xf>
    <xf numFmtId="44" fontId="55" fillId="11" borderId="64" xfId="29" applyFont="1" applyFill="1" applyBorder="1" applyAlignment="1" applyProtection="1">
      <alignment horizontal="center" vertical="center"/>
      <protection hidden="1"/>
    </xf>
    <xf numFmtId="0" fontId="16" fillId="2" borderId="0" xfId="2" applyFont="1" applyFill="1" applyBorder="1" applyAlignment="1">
      <alignment horizontal="center" vertical="center"/>
    </xf>
    <xf numFmtId="0" fontId="16" fillId="2" borderId="33" xfId="2" applyFont="1" applyFill="1" applyBorder="1" applyAlignment="1">
      <alignment horizontal="center" vertical="center" wrapText="1"/>
    </xf>
    <xf numFmtId="0" fontId="61" fillId="11" borderId="27" xfId="2" applyFont="1" applyFill="1" applyBorder="1" applyAlignment="1">
      <alignment horizontal="center" vertical="center"/>
    </xf>
    <xf numFmtId="0" fontId="14" fillId="2" borderId="1" xfId="2" applyFont="1" applyFill="1" applyBorder="1" applyAlignment="1" applyProtection="1">
      <alignment horizontal="center"/>
      <protection hidden="1"/>
    </xf>
    <xf numFmtId="0" fontId="11" fillId="2" borderId="19" xfId="2" applyFont="1" applyFill="1" applyBorder="1" applyAlignment="1" applyProtection="1">
      <alignment horizontal="left"/>
      <protection hidden="1"/>
    </xf>
    <xf numFmtId="0" fontId="11" fillId="2" borderId="1" xfId="2" applyFont="1" applyFill="1" applyBorder="1" applyAlignment="1" applyProtection="1">
      <alignment horizontal="left"/>
      <protection hidden="1"/>
    </xf>
    <xf numFmtId="0" fontId="11" fillId="2" borderId="53" xfId="2" applyFont="1" applyFill="1" applyBorder="1" applyAlignment="1" applyProtection="1">
      <alignment horizontal="left"/>
      <protection hidden="1"/>
    </xf>
    <xf numFmtId="0" fontId="11" fillId="2" borderId="8" xfId="2" applyFont="1" applyFill="1" applyBorder="1" applyAlignment="1" applyProtection="1">
      <alignment horizontal="left"/>
      <protection hidden="1"/>
    </xf>
    <xf numFmtId="0" fontId="14" fillId="2" borderId="1" xfId="2" applyFont="1" applyFill="1" applyBorder="1" applyAlignment="1" applyProtection="1">
      <alignment horizontal="center"/>
      <protection hidden="1"/>
    </xf>
    <xf numFmtId="0" fontId="11" fillId="2" borderId="19" xfId="2" applyFont="1" applyFill="1" applyBorder="1" applyAlignment="1" applyProtection="1">
      <alignment horizontal="left"/>
      <protection hidden="1"/>
    </xf>
    <xf numFmtId="0" fontId="11" fillId="2" borderId="1" xfId="2" applyFont="1" applyFill="1" applyBorder="1" applyAlignment="1" applyProtection="1">
      <alignment horizontal="left"/>
      <protection hidden="1"/>
    </xf>
    <xf numFmtId="0" fontId="11" fillId="2" borderId="53" xfId="2" applyFont="1" applyFill="1" applyBorder="1" applyAlignment="1" applyProtection="1">
      <alignment horizontal="left"/>
      <protection hidden="1"/>
    </xf>
    <xf numFmtId="0" fontId="11" fillId="2" borderId="8" xfId="2" applyFont="1" applyFill="1" applyBorder="1" applyAlignment="1" applyProtection="1">
      <alignment horizontal="left"/>
      <protection hidden="1"/>
    </xf>
    <xf numFmtId="0" fontId="56" fillId="0" borderId="0" xfId="18" quotePrefix="1" applyFont="1"/>
    <xf numFmtId="0" fontId="64" fillId="6" borderId="1" xfId="2" applyFont="1" applyFill="1" applyBorder="1" applyAlignment="1" applyProtection="1">
      <alignment horizontal="center" vertical="center" wrapText="1"/>
      <protection hidden="1"/>
    </xf>
    <xf numFmtId="0" fontId="6" fillId="5" borderId="0" xfId="2" applyFont="1" applyFill="1" applyProtection="1">
      <protection hidden="1"/>
    </xf>
    <xf numFmtId="0" fontId="6" fillId="5" borderId="1" xfId="2" applyFont="1" applyFill="1" applyBorder="1" applyProtection="1">
      <protection hidden="1"/>
    </xf>
    <xf numFmtId="0" fontId="6" fillId="6" borderId="1" xfId="2" applyFont="1" applyFill="1" applyBorder="1" applyAlignment="1" applyProtection="1">
      <alignment horizontal="center" vertical="center" wrapText="1"/>
      <protection hidden="1"/>
    </xf>
    <xf numFmtId="44" fontId="6" fillId="5" borderId="1" xfId="2" applyNumberFormat="1" applyFont="1" applyFill="1" applyBorder="1" applyProtection="1">
      <protection hidden="1"/>
    </xf>
    <xf numFmtId="0" fontId="64" fillId="5" borderId="1" xfId="2" applyFont="1" applyFill="1" applyBorder="1" applyAlignment="1" applyProtection="1">
      <alignment horizontal="center"/>
      <protection hidden="1"/>
    </xf>
    <xf numFmtId="9" fontId="6" fillId="5" borderId="1" xfId="2" applyNumberFormat="1" applyFont="1" applyFill="1" applyBorder="1" applyProtection="1">
      <protection hidden="1"/>
    </xf>
    <xf numFmtId="0" fontId="23" fillId="0" borderId="0" xfId="0" applyFont="1" applyAlignment="1">
      <alignment horizontal="left" vertical="top" wrapText="1"/>
    </xf>
    <xf numFmtId="44" fontId="23" fillId="0" borderId="0" xfId="0" applyNumberFormat="1" applyFont="1"/>
    <xf numFmtId="0" fontId="32" fillId="0" borderId="0" xfId="2" applyFont="1" applyProtection="1">
      <protection hidden="1"/>
    </xf>
    <xf numFmtId="3" fontId="32" fillId="0" borderId="0" xfId="2" applyNumberFormat="1" applyFont="1" applyProtection="1">
      <protection hidden="1"/>
    </xf>
    <xf numFmtId="165" fontId="32" fillId="0" borderId="0" xfId="2" applyNumberFormat="1" applyFont="1" applyProtection="1">
      <protection hidden="1"/>
    </xf>
    <xf numFmtId="0" fontId="66" fillId="0" borderId="0" xfId="2" applyFont="1" applyProtection="1">
      <protection hidden="1"/>
    </xf>
    <xf numFmtId="0" fontId="67" fillId="0" borderId="0" xfId="2" applyFont="1" applyBorder="1" applyProtection="1">
      <protection hidden="1"/>
    </xf>
    <xf numFmtId="0" fontId="32" fillId="0" borderId="0" xfId="2" applyFont="1" applyFill="1" applyProtection="1">
      <protection hidden="1"/>
    </xf>
    <xf numFmtId="0" fontId="27" fillId="0" borderId="0" xfId="0" applyFont="1"/>
    <xf numFmtId="0" fontId="11" fillId="0" borderId="0" xfId="18" applyFont="1" applyFill="1"/>
    <xf numFmtId="185" fontId="11" fillId="0" borderId="0" xfId="18" applyNumberFormat="1" applyFont="1"/>
    <xf numFmtId="0" fontId="34" fillId="14" borderId="9" xfId="18" applyFont="1" applyFill="1" applyBorder="1" applyAlignment="1">
      <alignment horizontal="left" vertical="center"/>
    </xf>
    <xf numFmtId="170" fontId="25" fillId="0" borderId="27" xfId="12" applyNumberFormat="1" applyFont="1" applyFill="1" applyBorder="1" applyAlignment="1">
      <alignment horizontal="right"/>
    </xf>
    <xf numFmtId="166" fontId="34" fillId="0" borderId="26" xfId="14" applyFont="1" applyFill="1" applyBorder="1"/>
    <xf numFmtId="165" fontId="68" fillId="0" borderId="0" xfId="2" applyNumberFormat="1" applyFont="1" applyProtection="1">
      <protection hidden="1"/>
    </xf>
    <xf numFmtId="0" fontId="69" fillId="0" borderId="0" xfId="2" applyFont="1" applyProtection="1">
      <protection hidden="1"/>
    </xf>
    <xf numFmtId="0" fontId="68" fillId="0" borderId="0" xfId="2" applyFont="1" applyProtection="1">
      <protection hidden="1"/>
    </xf>
    <xf numFmtId="0" fontId="70" fillId="0" borderId="0" xfId="2" applyFont="1" applyBorder="1" applyProtection="1">
      <protection hidden="1"/>
    </xf>
    <xf numFmtId="188" fontId="23" fillId="0" borderId="0" xfId="0" applyNumberFormat="1" applyFont="1"/>
    <xf numFmtId="0" fontId="23" fillId="0" borderId="0" xfId="0" applyFont="1" applyAlignment="1">
      <alignment horizontal="center"/>
    </xf>
    <xf numFmtId="0" fontId="27" fillId="0" borderId="0" xfId="0" applyFont="1" applyAlignment="1">
      <alignment horizontal="center"/>
    </xf>
    <xf numFmtId="0" fontId="23" fillId="0" borderId="0" xfId="0" applyFont="1" applyAlignment="1">
      <alignment horizontal="left"/>
    </xf>
    <xf numFmtId="0" fontId="24" fillId="0" borderId="0" xfId="0" applyFont="1" applyAlignment="1">
      <alignment horizontal="left" vertical="top" wrapText="1"/>
    </xf>
    <xf numFmtId="0" fontId="24" fillId="0" borderId="0" xfId="0" applyFont="1" applyAlignment="1">
      <alignment horizontal="center"/>
    </xf>
    <xf numFmtId="0" fontId="25" fillId="0" borderId="0" xfId="0" applyFont="1" applyAlignment="1">
      <alignment horizontal="center"/>
    </xf>
    <xf numFmtId="0" fontId="26" fillId="0" borderId="0" xfId="0" applyFont="1" applyAlignment="1">
      <alignment horizontal="center"/>
    </xf>
    <xf numFmtId="0" fontId="28" fillId="0" borderId="0" xfId="0" applyFont="1" applyAlignment="1">
      <alignment horizontal="center"/>
    </xf>
    <xf numFmtId="0" fontId="14" fillId="2" borderId="14" xfId="2" applyFont="1" applyFill="1" applyBorder="1" applyAlignment="1">
      <alignment horizontal="center" vertical="center"/>
    </xf>
    <xf numFmtId="0" fontId="14" fillId="2" borderId="13" xfId="2" applyFont="1" applyFill="1" applyBorder="1" applyAlignment="1">
      <alignment horizontal="center" vertical="center"/>
    </xf>
    <xf numFmtId="0" fontId="14" fillId="2" borderId="12" xfId="2" applyFont="1" applyFill="1" applyBorder="1" applyAlignment="1">
      <alignment horizontal="center" vertical="center"/>
    </xf>
    <xf numFmtId="0" fontId="14" fillId="18" borderId="1" xfId="2" applyFont="1" applyFill="1" applyBorder="1" applyAlignment="1">
      <alignment horizontal="center" vertical="center"/>
    </xf>
    <xf numFmtId="0" fontId="14" fillId="19" borderId="14" xfId="2" applyFont="1" applyFill="1" applyBorder="1" applyAlignment="1">
      <alignment horizontal="center" vertical="center"/>
    </xf>
    <xf numFmtId="0" fontId="14" fillId="19" borderId="13" xfId="2" applyFont="1" applyFill="1" applyBorder="1" applyAlignment="1">
      <alignment horizontal="center" vertical="center"/>
    </xf>
    <xf numFmtId="0" fontId="14" fillId="19" borderId="12" xfId="2" applyFont="1" applyFill="1" applyBorder="1" applyAlignment="1">
      <alignment horizontal="center" vertical="center"/>
    </xf>
    <xf numFmtId="0" fontId="14" fillId="18" borderId="9" xfId="2" applyFont="1" applyFill="1" applyBorder="1" applyAlignment="1">
      <alignment horizontal="center" vertical="center"/>
    </xf>
    <xf numFmtId="0" fontId="14" fillId="18" borderId="15" xfId="2" applyFont="1" applyFill="1" applyBorder="1" applyAlignment="1">
      <alignment horizontal="center" vertical="center"/>
    </xf>
    <xf numFmtId="0" fontId="14" fillId="18" borderId="8" xfId="2" applyFont="1" applyFill="1" applyBorder="1" applyAlignment="1">
      <alignment horizontal="center" vertical="center"/>
    </xf>
    <xf numFmtId="166" fontId="25" fillId="0" borderId="7" xfId="14" applyFont="1" applyFill="1" applyBorder="1" applyAlignment="1">
      <alignment horizontal="center" wrapText="1"/>
    </xf>
    <xf numFmtId="166" fontId="25" fillId="0" borderId="42" xfId="14" applyFont="1" applyFill="1" applyBorder="1" applyAlignment="1">
      <alignment horizontal="center" wrapText="1"/>
    </xf>
    <xf numFmtId="0" fontId="34" fillId="13" borderId="41" xfId="18" applyFont="1" applyFill="1" applyBorder="1" applyAlignment="1">
      <alignment horizontal="center" vertical="center"/>
    </xf>
    <xf numFmtId="0" fontId="34" fillId="13" borderId="42" xfId="18" applyFont="1" applyFill="1" applyBorder="1" applyAlignment="1">
      <alignment horizontal="center" vertical="center"/>
    </xf>
    <xf numFmtId="0" fontId="34" fillId="13" borderId="7" xfId="18" applyFont="1" applyFill="1" applyBorder="1" applyAlignment="1">
      <alignment horizontal="center" vertical="center" wrapText="1"/>
    </xf>
    <xf numFmtId="0" fontId="34" fillId="13" borderId="42" xfId="18" applyFont="1" applyFill="1" applyBorder="1" applyAlignment="1">
      <alignment horizontal="center" vertical="center" wrapText="1"/>
    </xf>
    <xf numFmtId="0" fontId="36" fillId="0" borderId="0" xfId="18" applyFont="1" applyAlignment="1">
      <alignment horizontal="left" vertical="top" wrapText="1"/>
    </xf>
    <xf numFmtId="0" fontId="23" fillId="0" borderId="0" xfId="0" applyFont="1" applyAlignment="1">
      <alignment horizontal="left" vertical="top" wrapText="1"/>
    </xf>
    <xf numFmtId="0" fontId="23" fillId="0" borderId="0" xfId="0" applyFont="1" applyAlignment="1">
      <alignment horizontal="left" vertical="center" wrapText="1"/>
    </xf>
    <xf numFmtId="165" fontId="11" fillId="0" borderId="54" xfId="3" applyNumberFormat="1" applyFont="1" applyBorder="1" applyAlignment="1" applyProtection="1">
      <alignment horizontal="right"/>
      <protection hidden="1"/>
    </xf>
    <xf numFmtId="165" fontId="11" fillId="0" borderId="56" xfId="3" applyNumberFormat="1" applyFont="1" applyBorder="1" applyAlignment="1" applyProtection="1">
      <alignment horizontal="right"/>
      <protection hidden="1"/>
    </xf>
    <xf numFmtId="0" fontId="9" fillId="0" borderId="0" xfId="2" applyFont="1" applyAlignment="1" applyProtection="1">
      <alignment horizontal="left"/>
      <protection hidden="1"/>
    </xf>
    <xf numFmtId="0" fontId="15" fillId="2" borderId="54" xfId="2" applyFont="1" applyFill="1" applyBorder="1" applyAlignment="1" applyProtection="1">
      <alignment horizontal="left"/>
      <protection hidden="1"/>
    </xf>
    <xf numFmtId="0" fontId="15" fillId="2" borderId="55" xfId="2" applyFont="1" applyFill="1" applyBorder="1" applyAlignment="1" applyProtection="1">
      <alignment horizontal="left"/>
      <protection hidden="1"/>
    </xf>
    <xf numFmtId="0" fontId="15" fillId="2" borderId="56" xfId="2" applyFont="1" applyFill="1" applyBorder="1" applyAlignment="1" applyProtection="1">
      <alignment horizontal="left"/>
      <protection hidden="1"/>
    </xf>
    <xf numFmtId="0" fontId="16" fillId="0" borderId="1" xfId="2" applyFont="1" applyBorder="1" applyAlignment="1" applyProtection="1">
      <alignment horizontal="left" vertical="top" wrapText="1"/>
      <protection hidden="1"/>
    </xf>
    <xf numFmtId="0" fontId="16" fillId="0" borderId="18" xfId="2" applyFont="1" applyBorder="1" applyAlignment="1" applyProtection="1">
      <alignment horizontal="left" vertical="top" wrapText="1"/>
      <protection hidden="1"/>
    </xf>
    <xf numFmtId="0" fontId="11" fillId="0" borderId="1" xfId="2" applyFont="1" applyBorder="1" applyAlignment="1" applyProtection="1">
      <alignment horizontal="left"/>
      <protection hidden="1"/>
    </xf>
    <xf numFmtId="0" fontId="11" fillId="0" borderId="18" xfId="2" applyFont="1" applyBorder="1" applyAlignment="1" applyProtection="1">
      <alignment horizontal="left"/>
      <protection hidden="1"/>
    </xf>
    <xf numFmtId="3" fontId="11" fillId="0" borderId="1" xfId="2" applyNumberFormat="1" applyFont="1" applyBorder="1" applyAlignment="1" applyProtection="1">
      <alignment horizontal="left"/>
      <protection hidden="1"/>
    </xf>
    <xf numFmtId="3" fontId="11" fillId="0" borderId="18" xfId="2" applyNumberFormat="1" applyFont="1" applyBorder="1" applyAlignment="1" applyProtection="1">
      <alignment horizontal="left"/>
      <protection hidden="1"/>
    </xf>
    <xf numFmtId="3" fontId="11" fillId="0" borderId="9" xfId="2" applyNumberFormat="1" applyFont="1" applyBorder="1" applyAlignment="1" applyProtection="1">
      <alignment horizontal="left"/>
      <protection hidden="1"/>
    </xf>
    <xf numFmtId="3" fontId="11" fillId="0" borderId="17" xfId="2" applyNumberFormat="1" applyFont="1" applyBorder="1" applyAlignment="1" applyProtection="1">
      <alignment horizontal="left"/>
      <protection hidden="1"/>
    </xf>
    <xf numFmtId="0" fontId="11" fillId="0" borderId="39" xfId="2" applyFont="1" applyBorder="1" applyAlignment="1" applyProtection="1">
      <alignment horizontal="left"/>
      <protection hidden="1"/>
    </xf>
    <xf numFmtId="0" fontId="11" fillId="0" borderId="40" xfId="2" applyFont="1" applyBorder="1" applyAlignment="1" applyProtection="1">
      <alignment horizontal="left"/>
      <protection hidden="1"/>
    </xf>
    <xf numFmtId="0" fontId="15" fillId="2" borderId="32" xfId="2" applyFont="1" applyFill="1" applyBorder="1" applyAlignment="1" applyProtection="1">
      <alignment horizontal="left"/>
      <protection hidden="1"/>
    </xf>
    <xf numFmtId="0" fontId="15" fillId="2" borderId="31" xfId="2" applyFont="1" applyFill="1" applyBorder="1" applyAlignment="1" applyProtection="1">
      <alignment horizontal="left"/>
      <protection hidden="1"/>
    </xf>
    <xf numFmtId="0" fontId="15" fillId="2" borderId="29" xfId="2" applyFont="1" applyFill="1" applyBorder="1" applyAlignment="1" applyProtection="1">
      <alignment horizontal="left"/>
      <protection hidden="1"/>
    </xf>
    <xf numFmtId="165" fontId="19" fillId="3" borderId="7" xfId="3" applyNumberFormat="1" applyFont="1" applyFill="1" applyBorder="1" applyAlignment="1" applyProtection="1">
      <alignment horizontal="right"/>
      <protection locked="0"/>
    </xf>
    <xf numFmtId="165" fontId="19" fillId="3" borderId="42" xfId="3" applyNumberFormat="1" applyFont="1" applyFill="1" applyBorder="1" applyAlignment="1" applyProtection="1">
      <alignment horizontal="right"/>
      <protection locked="0"/>
    </xf>
    <xf numFmtId="0" fontId="11" fillId="2" borderId="19" xfId="2" applyFont="1" applyFill="1" applyBorder="1" applyAlignment="1" applyProtection="1">
      <alignment horizontal="left"/>
      <protection hidden="1"/>
    </xf>
    <xf numFmtId="0" fontId="11" fillId="2" borderId="1" xfId="2" applyFont="1" applyFill="1" applyBorder="1" applyAlignment="1" applyProtection="1">
      <alignment horizontal="left"/>
      <protection hidden="1"/>
    </xf>
    <xf numFmtId="165" fontId="11" fillId="0" borderId="67" xfId="3" applyNumberFormat="1" applyFont="1" applyBorder="1" applyAlignment="1" applyProtection="1">
      <alignment horizontal="right"/>
      <protection hidden="1"/>
    </xf>
    <xf numFmtId="165" fontId="11" fillId="0" borderId="76" xfId="3" applyNumberFormat="1" applyFont="1" applyBorder="1" applyAlignment="1" applyProtection="1">
      <alignment horizontal="right"/>
      <protection hidden="1"/>
    </xf>
    <xf numFmtId="0" fontId="11" fillId="2" borderId="53" xfId="2" applyFont="1" applyFill="1" applyBorder="1" applyAlignment="1" applyProtection="1">
      <alignment horizontal="left"/>
      <protection hidden="1"/>
    </xf>
    <xf numFmtId="0" fontId="11" fillId="2" borderId="8" xfId="2" applyFont="1" applyFill="1" applyBorder="1" applyAlignment="1" applyProtection="1">
      <alignment horizontal="left"/>
      <protection hidden="1"/>
    </xf>
    <xf numFmtId="0" fontId="11" fillId="2" borderId="53" xfId="2" quotePrefix="1" applyFont="1" applyFill="1" applyBorder="1" applyAlignment="1" applyProtection="1">
      <alignment horizontal="left" vertical="top" shrinkToFit="1"/>
      <protection hidden="1"/>
    </xf>
    <xf numFmtId="0" fontId="11" fillId="2" borderId="8" xfId="2" quotePrefix="1" applyFont="1" applyFill="1" applyBorder="1" applyAlignment="1" applyProtection="1">
      <alignment horizontal="left" vertical="top" shrinkToFit="1"/>
      <protection hidden="1"/>
    </xf>
    <xf numFmtId="0" fontId="14" fillId="0" borderId="7" xfId="2" applyFont="1" applyBorder="1" applyAlignment="1" applyProtection="1">
      <protection hidden="1"/>
    </xf>
    <xf numFmtId="0" fontId="14" fillId="0" borderId="6" xfId="2" applyFont="1" applyBorder="1" applyAlignment="1" applyProtection="1">
      <protection hidden="1"/>
    </xf>
    <xf numFmtId="0" fontId="14" fillId="0" borderId="4" xfId="2" applyFont="1" applyFill="1" applyBorder="1" applyAlignment="1" applyProtection="1">
      <alignment horizontal="left"/>
      <protection hidden="1"/>
    </xf>
    <xf numFmtId="0" fontId="14" fillId="0" borderId="3" xfId="2" applyFont="1" applyBorder="1" applyAlignment="1" applyProtection="1">
      <alignment horizontal="left"/>
      <protection hidden="1"/>
    </xf>
    <xf numFmtId="0" fontId="15" fillId="2" borderId="1" xfId="2" applyFont="1" applyFill="1" applyBorder="1" applyAlignment="1" applyProtection="1">
      <alignment horizontal="left"/>
      <protection hidden="1"/>
    </xf>
    <xf numFmtId="0" fontId="14" fillId="2" borderId="1" xfId="2" applyFont="1" applyFill="1" applyBorder="1" applyAlignment="1" applyProtection="1">
      <alignment horizontal="center"/>
      <protection hidden="1"/>
    </xf>
    <xf numFmtId="0" fontId="29" fillId="6" borderId="1" xfId="2" applyFont="1" applyFill="1" applyBorder="1" applyAlignment="1" applyProtection="1">
      <alignment horizontal="center" vertical="center" wrapText="1"/>
      <protection hidden="1"/>
    </xf>
    <xf numFmtId="0" fontId="14" fillId="6" borderId="9" xfId="2" applyFont="1" applyFill="1" applyBorder="1" applyAlignment="1" applyProtection="1">
      <alignment horizontal="center" vertical="center" wrapText="1"/>
      <protection hidden="1"/>
    </xf>
    <xf numFmtId="0" fontId="14" fillId="6" borderId="15" xfId="2" applyFont="1" applyFill="1" applyBorder="1" applyAlignment="1" applyProtection="1">
      <alignment horizontal="center" vertical="center" wrapText="1"/>
      <protection hidden="1"/>
    </xf>
    <xf numFmtId="0" fontId="14" fillId="6" borderId="8" xfId="2" applyFont="1" applyFill="1" applyBorder="1" applyAlignment="1" applyProtection="1">
      <alignment horizontal="center" vertical="center" wrapText="1"/>
      <protection hidden="1"/>
    </xf>
    <xf numFmtId="0" fontId="14" fillId="6" borderId="1" xfId="2" applyFont="1" applyFill="1" applyBorder="1" applyAlignment="1" applyProtection="1">
      <alignment horizontal="center" vertical="center" wrapText="1"/>
      <protection hidden="1"/>
    </xf>
    <xf numFmtId="0" fontId="28" fillId="0" borderId="66" xfId="24" applyFont="1" applyBorder="1" applyAlignment="1" applyProtection="1">
      <alignment horizontal="left" vertical="center" wrapText="1"/>
      <protection hidden="1"/>
    </xf>
    <xf numFmtId="0" fontId="58" fillId="4" borderId="14" xfId="24" applyFont="1" applyFill="1" applyBorder="1" applyAlignment="1" applyProtection="1">
      <alignment horizontal="center" vertical="center" wrapText="1"/>
      <protection hidden="1"/>
    </xf>
    <xf numFmtId="0" fontId="58" fillId="4" borderId="13" xfId="24" applyFont="1" applyFill="1" applyBorder="1" applyAlignment="1" applyProtection="1">
      <alignment horizontal="center" vertical="center" wrapText="1"/>
      <protection hidden="1"/>
    </xf>
    <xf numFmtId="0" fontId="58" fillId="4" borderId="12" xfId="24" applyFont="1" applyFill="1" applyBorder="1" applyAlignment="1" applyProtection="1">
      <alignment horizontal="center" vertical="center" wrapText="1"/>
      <protection hidden="1"/>
    </xf>
    <xf numFmtId="0" fontId="58" fillId="4" borderId="10" xfId="24" applyFont="1" applyFill="1" applyBorder="1" applyAlignment="1" applyProtection="1">
      <alignment horizontal="center" vertical="center" wrapText="1"/>
      <protection hidden="1"/>
    </xf>
    <xf numFmtId="0" fontId="58" fillId="4" borderId="68" xfId="24" applyFont="1" applyFill="1" applyBorder="1" applyAlignment="1" applyProtection="1">
      <alignment horizontal="center" vertical="center" wrapText="1"/>
      <protection hidden="1"/>
    </xf>
    <xf numFmtId="0" fontId="58" fillId="4" borderId="77" xfId="24" applyFont="1" applyFill="1" applyBorder="1" applyAlignment="1" applyProtection="1">
      <alignment horizontal="center" vertical="center" wrapText="1"/>
      <protection hidden="1"/>
    </xf>
    <xf numFmtId="0" fontId="55" fillId="4" borderId="14" xfId="24" applyFont="1" applyFill="1" applyBorder="1" applyAlignment="1" applyProtection="1">
      <alignment horizontal="left" vertical="top" wrapText="1"/>
      <protection hidden="1"/>
    </xf>
    <xf numFmtId="0" fontId="55" fillId="4" borderId="13" xfId="24" applyFont="1" applyFill="1" applyBorder="1" applyAlignment="1" applyProtection="1">
      <alignment horizontal="left" vertical="top" wrapText="1"/>
      <protection hidden="1"/>
    </xf>
    <xf numFmtId="0" fontId="55" fillId="4" borderId="12" xfId="24" applyFont="1" applyFill="1" applyBorder="1" applyAlignment="1" applyProtection="1">
      <alignment horizontal="left" vertical="top" wrapText="1"/>
      <protection hidden="1"/>
    </xf>
    <xf numFmtId="0" fontId="55" fillId="4" borderId="10" xfId="24" applyFont="1" applyFill="1" applyBorder="1" applyAlignment="1" applyProtection="1">
      <alignment horizontal="left" vertical="top" wrapText="1"/>
      <protection hidden="1"/>
    </xf>
    <xf numFmtId="0" fontId="55" fillId="4" borderId="68" xfId="24" applyFont="1" applyFill="1" applyBorder="1" applyAlignment="1" applyProtection="1">
      <alignment horizontal="left" vertical="top" wrapText="1"/>
      <protection hidden="1"/>
    </xf>
    <xf numFmtId="0" fontId="55" fillId="4" borderId="77" xfId="24" applyFont="1" applyFill="1" applyBorder="1" applyAlignment="1" applyProtection="1">
      <alignment horizontal="left" vertical="top" wrapText="1"/>
      <protection hidden="1"/>
    </xf>
    <xf numFmtId="0" fontId="59" fillId="4" borderId="14" xfId="24" applyFont="1" applyFill="1" applyBorder="1" applyAlignment="1" applyProtection="1">
      <alignment horizontal="left" vertical="center" wrapText="1"/>
      <protection hidden="1"/>
    </xf>
    <xf numFmtId="0" fontId="59" fillId="4" borderId="13" xfId="24" applyFont="1" applyFill="1" applyBorder="1" applyAlignment="1" applyProtection="1">
      <alignment horizontal="left" vertical="center" wrapText="1"/>
      <protection hidden="1"/>
    </xf>
    <xf numFmtId="0" fontId="59" fillId="4" borderId="12" xfId="24" applyFont="1" applyFill="1" applyBorder="1" applyAlignment="1" applyProtection="1">
      <alignment horizontal="left" vertical="center" wrapText="1"/>
      <protection hidden="1"/>
    </xf>
    <xf numFmtId="0" fontId="59" fillId="4" borderId="10" xfId="24" applyFont="1" applyFill="1" applyBorder="1" applyAlignment="1" applyProtection="1">
      <alignment horizontal="left" vertical="center" wrapText="1"/>
      <protection hidden="1"/>
    </xf>
    <xf numFmtId="0" fontId="59" fillId="4" borderId="68" xfId="24" applyFont="1" applyFill="1" applyBorder="1" applyAlignment="1" applyProtection="1">
      <alignment horizontal="left" vertical="center" wrapText="1"/>
      <protection hidden="1"/>
    </xf>
    <xf numFmtId="0" fontId="59" fillId="4" borderId="77" xfId="24" applyFont="1" applyFill="1" applyBorder="1" applyAlignment="1" applyProtection="1">
      <alignment horizontal="left" vertical="center" wrapText="1"/>
      <protection hidden="1"/>
    </xf>
    <xf numFmtId="0" fontId="28" fillId="4" borderId="14" xfId="24" applyFont="1" applyFill="1" applyBorder="1" applyAlignment="1" applyProtection="1">
      <alignment horizontal="center" vertical="center"/>
      <protection hidden="1"/>
    </xf>
    <xf numFmtId="0" fontId="28" fillId="4" borderId="13" xfId="24" applyFont="1" applyFill="1" applyBorder="1" applyAlignment="1" applyProtection="1">
      <alignment horizontal="center" vertical="center"/>
      <protection hidden="1"/>
    </xf>
    <xf numFmtId="0" fontId="28" fillId="4" borderId="12" xfId="24" applyFont="1" applyFill="1" applyBorder="1" applyAlignment="1" applyProtection="1">
      <alignment horizontal="center" vertical="center"/>
      <protection hidden="1"/>
    </xf>
    <xf numFmtId="0" fontId="28" fillId="4" borderId="10" xfId="24" applyFont="1" applyFill="1" applyBorder="1" applyAlignment="1" applyProtection="1">
      <alignment horizontal="center" vertical="center"/>
      <protection hidden="1"/>
    </xf>
    <xf numFmtId="0" fontId="28" fillId="4" borderId="68" xfId="24" applyFont="1" applyFill="1" applyBorder="1" applyAlignment="1" applyProtection="1">
      <alignment horizontal="center" vertical="center"/>
      <protection hidden="1"/>
    </xf>
    <xf numFmtId="0" fontId="28" fillId="4" borderId="77" xfId="24" applyFont="1" applyFill="1" applyBorder="1" applyAlignment="1" applyProtection="1">
      <alignment horizontal="center" vertical="center"/>
      <protection hidden="1"/>
    </xf>
    <xf numFmtId="0" fontId="55" fillId="4" borderId="1" xfId="24" applyFont="1" applyFill="1" applyBorder="1" applyAlignment="1" applyProtection="1">
      <alignment horizontal="left" vertical="top" wrapText="1"/>
      <protection hidden="1"/>
    </xf>
    <xf numFmtId="0" fontId="57" fillId="4" borderId="9" xfId="24" applyFont="1" applyFill="1" applyBorder="1" applyAlignment="1" applyProtection="1">
      <alignment horizontal="left" vertical="center" wrapText="1"/>
      <protection hidden="1"/>
    </xf>
    <xf numFmtId="0" fontId="57" fillId="4" borderId="15" xfId="24" applyFont="1" applyFill="1" applyBorder="1" applyAlignment="1" applyProtection="1">
      <alignment horizontal="left" vertical="center" wrapText="1"/>
      <protection hidden="1"/>
    </xf>
    <xf numFmtId="0" fontId="57" fillId="4" borderId="8" xfId="24" applyFont="1" applyFill="1" applyBorder="1" applyAlignment="1" applyProtection="1">
      <alignment horizontal="left" vertical="center" wrapText="1"/>
      <protection hidden="1"/>
    </xf>
    <xf numFmtId="0" fontId="55" fillId="4" borderId="9" xfId="24" applyFont="1" applyFill="1" applyBorder="1" applyAlignment="1" applyProtection="1">
      <alignment horizontal="left" vertical="top" wrapText="1"/>
      <protection hidden="1"/>
    </xf>
    <xf numFmtId="0" fontId="55" fillId="4" borderId="8" xfId="24" applyFont="1" applyFill="1" applyBorder="1" applyAlignment="1" applyProtection="1">
      <alignment horizontal="left" vertical="top" wrapText="1"/>
      <protection hidden="1"/>
    </xf>
    <xf numFmtId="180" fontId="55" fillId="4" borderId="9" xfId="24" applyNumberFormat="1" applyFont="1" applyFill="1" applyBorder="1" applyAlignment="1" applyProtection="1">
      <alignment horizontal="left" vertical="center"/>
      <protection hidden="1"/>
    </xf>
    <xf numFmtId="180" fontId="55" fillId="4" borderId="8" xfId="24" applyNumberFormat="1" applyFont="1" applyFill="1" applyBorder="1" applyAlignment="1" applyProtection="1">
      <alignment horizontal="left" vertical="center"/>
      <protection hidden="1"/>
    </xf>
    <xf numFmtId="0" fontId="55" fillId="4" borderId="14" xfId="24" applyFont="1" applyFill="1" applyBorder="1" applyAlignment="1" applyProtection="1">
      <alignment horizontal="center" vertical="center" wrapText="1"/>
      <protection hidden="1"/>
    </xf>
    <xf numFmtId="0" fontId="55" fillId="4" borderId="13" xfId="24" applyFont="1" applyFill="1" applyBorder="1" applyAlignment="1" applyProtection="1">
      <alignment horizontal="center" vertical="center" wrapText="1"/>
      <protection hidden="1"/>
    </xf>
    <xf numFmtId="0" fontId="55" fillId="4" borderId="12" xfId="24" applyFont="1" applyFill="1" applyBorder="1" applyAlignment="1" applyProtection="1">
      <alignment horizontal="center" vertical="center" wrapText="1"/>
      <protection hidden="1"/>
    </xf>
    <xf numFmtId="0" fontId="55" fillId="4" borderId="11" xfId="24" applyFont="1" applyFill="1" applyBorder="1" applyAlignment="1" applyProtection="1">
      <alignment horizontal="center" vertical="center" wrapText="1"/>
      <protection hidden="1"/>
    </xf>
    <xf numFmtId="0" fontId="55" fillId="4" borderId="0" xfId="24" applyFont="1" applyFill="1" applyAlignment="1" applyProtection="1">
      <alignment horizontal="center" vertical="center" wrapText="1"/>
      <protection hidden="1"/>
    </xf>
    <xf numFmtId="0" fontId="55" fillId="4" borderId="66" xfId="24" applyFont="1" applyFill="1" applyBorder="1" applyAlignment="1" applyProtection="1">
      <alignment horizontal="center" vertical="center" wrapText="1"/>
      <protection hidden="1"/>
    </xf>
    <xf numFmtId="0" fontId="55" fillId="4" borderId="10" xfId="24" applyFont="1" applyFill="1" applyBorder="1" applyAlignment="1" applyProtection="1">
      <alignment horizontal="center" vertical="center" wrapText="1"/>
      <protection hidden="1"/>
    </xf>
    <xf numFmtId="0" fontId="55" fillId="4" borderId="68" xfId="24" applyFont="1" applyFill="1" applyBorder="1" applyAlignment="1" applyProtection="1">
      <alignment horizontal="center" vertical="center" wrapText="1"/>
      <protection hidden="1"/>
    </xf>
    <xf numFmtId="0" fontId="55" fillId="4" borderId="77" xfId="24" applyFont="1" applyFill="1" applyBorder="1" applyAlignment="1" applyProtection="1">
      <alignment horizontal="center" vertical="center" wrapText="1"/>
      <protection hidden="1"/>
    </xf>
    <xf numFmtId="0" fontId="28" fillId="7" borderId="78" xfId="24" applyFont="1" applyFill="1" applyBorder="1" applyAlignment="1" applyProtection="1">
      <alignment horizontal="center" vertical="center"/>
      <protection hidden="1"/>
    </xf>
    <xf numFmtId="0" fontId="28" fillId="7" borderId="80" xfId="24" applyFont="1" applyFill="1" applyBorder="1" applyAlignment="1" applyProtection="1">
      <alignment horizontal="center" vertical="center"/>
      <protection hidden="1"/>
    </xf>
    <xf numFmtId="0" fontId="28" fillId="7" borderId="64" xfId="24" applyFont="1" applyFill="1" applyBorder="1" applyAlignment="1" applyProtection="1">
      <alignment horizontal="center" vertical="center"/>
      <protection hidden="1"/>
    </xf>
    <xf numFmtId="0" fontId="55" fillId="7" borderId="32" xfId="24" applyFont="1" applyFill="1" applyBorder="1" applyAlignment="1" applyProtection="1">
      <alignment horizontal="center" vertical="center" wrapText="1"/>
      <protection hidden="1"/>
    </xf>
    <xf numFmtId="0" fontId="55" fillId="7" borderId="31" xfId="24" applyFont="1" applyFill="1" applyBorder="1" applyAlignment="1" applyProtection="1">
      <alignment horizontal="center" vertical="center" wrapText="1"/>
      <protection hidden="1"/>
    </xf>
    <xf numFmtId="0" fontId="55" fillId="7" borderId="29" xfId="24" applyFont="1" applyFill="1" applyBorder="1" applyAlignment="1" applyProtection="1">
      <alignment horizontal="center" vertical="center" wrapText="1"/>
      <protection hidden="1"/>
    </xf>
    <xf numFmtId="0" fontId="55" fillId="7" borderId="79" xfId="24" applyFont="1" applyFill="1" applyBorder="1" applyAlignment="1" applyProtection="1">
      <alignment horizontal="center" vertical="center" wrapText="1"/>
      <protection hidden="1"/>
    </xf>
    <xf numFmtId="0" fontId="55" fillId="7" borderId="30" xfId="24" applyFont="1" applyFill="1" applyBorder="1" applyAlignment="1" applyProtection="1">
      <alignment horizontal="center" vertical="center" wrapText="1"/>
      <protection hidden="1"/>
    </xf>
    <xf numFmtId="0" fontId="55" fillId="7" borderId="53" xfId="24" applyFont="1" applyFill="1" applyBorder="1" applyAlignment="1" applyProtection="1">
      <alignment horizontal="center" vertical="top" wrapText="1"/>
      <protection hidden="1"/>
    </xf>
    <xf numFmtId="0" fontId="55" fillId="7" borderId="15" xfId="24" applyFont="1" applyFill="1" applyBorder="1" applyAlignment="1" applyProtection="1">
      <alignment horizontal="center" vertical="top" wrapText="1"/>
      <protection hidden="1"/>
    </xf>
    <xf numFmtId="0" fontId="55" fillId="7" borderId="17" xfId="24" applyFont="1" applyFill="1" applyBorder="1" applyAlignment="1" applyProtection="1">
      <alignment horizontal="center" vertical="top" wrapText="1"/>
      <protection hidden="1"/>
    </xf>
    <xf numFmtId="180" fontId="55" fillId="4" borderId="9" xfId="24" applyNumberFormat="1" applyFont="1" applyFill="1" applyBorder="1" applyAlignment="1" applyProtection="1">
      <alignment horizontal="left" vertical="top"/>
      <protection hidden="1"/>
    </xf>
    <xf numFmtId="180" fontId="55" fillId="4" borderId="8" xfId="24" applyNumberFormat="1" applyFont="1" applyFill="1" applyBorder="1" applyAlignment="1" applyProtection="1">
      <alignment horizontal="left" vertical="top"/>
      <protection hidden="1"/>
    </xf>
    <xf numFmtId="0" fontId="56" fillId="24" borderId="78" xfId="24" applyFont="1" applyFill="1" applyBorder="1" applyAlignment="1" applyProtection="1">
      <alignment horizontal="center" vertical="center" textRotation="90"/>
      <protection hidden="1"/>
    </xf>
    <xf numFmtId="0" fontId="56" fillId="24" borderId="80" xfId="24" applyFont="1" applyFill="1" applyBorder="1" applyAlignment="1" applyProtection="1">
      <alignment horizontal="center" vertical="center" textRotation="90"/>
      <protection hidden="1"/>
    </xf>
    <xf numFmtId="0" fontId="56" fillId="24" borderId="64" xfId="24" applyFont="1" applyFill="1" applyBorder="1" applyAlignment="1" applyProtection="1">
      <alignment horizontal="center" vertical="center" textRotation="90"/>
      <protection hidden="1"/>
    </xf>
    <xf numFmtId="0" fontId="14" fillId="7" borderId="75" xfId="24" applyFont="1" applyFill="1" applyBorder="1" applyAlignment="1" applyProtection="1">
      <alignment horizontal="center" vertical="center" wrapText="1"/>
      <protection hidden="1"/>
    </xf>
    <xf numFmtId="0" fontId="14" fillId="7" borderId="66" xfId="24" applyFont="1" applyFill="1" applyBorder="1" applyAlignment="1" applyProtection="1">
      <alignment horizontal="center" vertical="center" wrapText="1"/>
      <protection hidden="1"/>
    </xf>
    <xf numFmtId="0" fontId="14" fillId="7" borderId="77" xfId="24" applyFont="1" applyFill="1" applyBorder="1" applyAlignment="1" applyProtection="1">
      <alignment horizontal="center" vertical="center" wrapText="1"/>
      <protection hidden="1"/>
    </xf>
    <xf numFmtId="0" fontId="14" fillId="7" borderId="31" xfId="24" applyFont="1" applyFill="1" applyBorder="1" applyAlignment="1" applyProtection="1">
      <alignment horizontal="center" vertical="center" wrapText="1"/>
      <protection hidden="1"/>
    </xf>
    <xf numFmtId="0" fontId="14" fillId="7" borderId="30" xfId="24" applyFont="1" applyFill="1" applyBorder="1" applyAlignment="1" applyProtection="1">
      <alignment horizontal="center" vertical="center" wrapText="1"/>
      <protection hidden="1"/>
    </xf>
    <xf numFmtId="0" fontId="14" fillId="7" borderId="1" xfId="24" applyFont="1" applyFill="1" applyBorder="1" applyAlignment="1" applyProtection="1">
      <alignment horizontal="center" vertical="center" wrapText="1"/>
      <protection hidden="1"/>
    </xf>
    <xf numFmtId="0" fontId="14" fillId="7" borderId="9" xfId="24" applyFont="1" applyFill="1" applyBorder="1" applyAlignment="1" applyProtection="1">
      <alignment horizontal="center" vertical="center" wrapText="1"/>
      <protection hidden="1"/>
    </xf>
    <xf numFmtId="0" fontId="14" fillId="7" borderId="36" xfId="24" applyFont="1" applyFill="1" applyBorder="1" applyAlignment="1" applyProtection="1">
      <alignment horizontal="center" vertical="center" wrapText="1"/>
      <protection hidden="1"/>
    </xf>
    <xf numFmtId="0" fontId="14" fillId="7" borderId="25" xfId="24" applyFont="1" applyFill="1" applyBorder="1" applyAlignment="1" applyProtection="1">
      <alignment horizontal="center" vertical="center" wrapText="1"/>
      <protection hidden="1"/>
    </xf>
    <xf numFmtId="0" fontId="14" fillId="7" borderId="28" xfId="24" applyFont="1" applyFill="1" applyBorder="1" applyAlignment="1" applyProtection="1">
      <alignment horizontal="center" vertical="center" wrapText="1"/>
      <protection hidden="1"/>
    </xf>
    <xf numFmtId="0" fontId="14" fillId="7" borderId="37" xfId="24" applyFont="1" applyFill="1" applyBorder="1" applyAlignment="1" applyProtection="1">
      <alignment horizontal="center" vertical="center" wrapText="1"/>
      <protection hidden="1"/>
    </xf>
    <xf numFmtId="0" fontId="14" fillId="7" borderId="24" xfId="24" applyFont="1" applyFill="1" applyBorder="1" applyAlignment="1" applyProtection="1">
      <alignment horizontal="center" vertical="center" wrapText="1"/>
      <protection hidden="1"/>
    </xf>
    <xf numFmtId="0" fontId="14" fillId="7" borderId="27" xfId="24" applyFont="1" applyFill="1" applyBorder="1" applyAlignment="1" applyProtection="1">
      <alignment horizontal="center" vertical="center" wrapText="1"/>
      <protection hidden="1"/>
    </xf>
    <xf numFmtId="0" fontId="14" fillId="7" borderId="17" xfId="24" applyFont="1" applyFill="1" applyBorder="1" applyAlignment="1" applyProtection="1">
      <alignment horizontal="center" vertical="center" wrapText="1"/>
      <protection hidden="1"/>
    </xf>
    <xf numFmtId="0" fontId="55" fillId="24" borderId="1" xfId="24" applyFont="1" applyFill="1" applyBorder="1" applyAlignment="1" applyProtection="1">
      <alignment horizontal="center" vertical="center" wrapText="1"/>
      <protection hidden="1"/>
    </xf>
    <xf numFmtId="0" fontId="55" fillId="24" borderId="9" xfId="24" applyFont="1" applyFill="1" applyBorder="1" applyAlignment="1" applyProtection="1">
      <alignment horizontal="center" vertical="center" wrapText="1"/>
      <protection hidden="1"/>
    </xf>
    <xf numFmtId="169" fontId="56" fillId="4" borderId="37" xfId="26" applyNumberFormat="1" applyFont="1" applyFill="1" applyBorder="1" applyAlignment="1" applyProtection="1">
      <alignment horizontal="center" vertical="center"/>
      <protection hidden="1"/>
    </xf>
    <xf numFmtId="169" fontId="56" fillId="4" borderId="24" xfId="26" applyNumberFormat="1" applyFont="1" applyFill="1" applyBorder="1" applyAlignment="1" applyProtection="1">
      <alignment horizontal="center" vertical="center"/>
      <protection hidden="1"/>
    </xf>
    <xf numFmtId="169" fontId="56" fillId="4" borderId="39" xfId="26" applyNumberFormat="1" applyFont="1" applyFill="1" applyBorder="1" applyAlignment="1" applyProtection="1">
      <alignment horizontal="center" vertical="center"/>
      <protection hidden="1"/>
    </xf>
    <xf numFmtId="181" fontId="56" fillId="0" borderId="28" xfId="28" applyNumberFormat="1" applyFont="1" applyFill="1" applyBorder="1" applyAlignment="1" applyProtection="1">
      <alignment horizontal="center" vertical="center"/>
      <protection hidden="1"/>
    </xf>
    <xf numFmtId="181" fontId="56" fillId="0" borderId="19" xfId="28" applyNumberFormat="1" applyFont="1" applyFill="1" applyBorder="1" applyAlignment="1" applyProtection="1">
      <alignment horizontal="center" vertical="center"/>
      <protection hidden="1"/>
    </xf>
    <xf numFmtId="181" fontId="56" fillId="0" borderId="43" xfId="28" applyNumberFormat="1" applyFont="1" applyFill="1" applyBorder="1" applyAlignment="1" applyProtection="1">
      <alignment horizontal="center" vertical="center"/>
      <protection hidden="1"/>
    </xf>
    <xf numFmtId="172" fontId="14" fillId="7" borderId="81" xfId="24" applyNumberFormat="1" applyFont="1" applyFill="1" applyBorder="1" applyAlignment="1" applyProtection="1">
      <alignment horizontal="center" vertical="center" wrapText="1"/>
      <protection hidden="1"/>
    </xf>
    <xf numFmtId="172" fontId="14" fillId="7" borderId="23" xfId="24" applyNumberFormat="1" applyFont="1" applyFill="1" applyBorder="1" applyAlignment="1" applyProtection="1">
      <alignment horizontal="center" vertical="center" wrapText="1"/>
      <protection hidden="1"/>
    </xf>
    <xf numFmtId="172" fontId="14" fillId="7" borderId="26" xfId="24" applyNumberFormat="1" applyFont="1" applyFill="1" applyBorder="1" applyAlignment="1" applyProtection="1">
      <alignment horizontal="center" vertical="center" wrapText="1"/>
      <protection hidden="1"/>
    </xf>
    <xf numFmtId="0" fontId="14" fillId="7" borderId="74" xfId="24" applyFont="1" applyFill="1" applyBorder="1" applyAlignment="1" applyProtection="1">
      <alignment horizontal="center" vertical="center"/>
      <protection hidden="1"/>
    </xf>
    <xf numFmtId="0" fontId="14" fillId="7" borderId="71" xfId="24" applyFont="1" applyFill="1" applyBorder="1" applyAlignment="1" applyProtection="1">
      <alignment horizontal="center" vertical="center"/>
      <protection hidden="1"/>
    </xf>
    <xf numFmtId="0" fontId="14" fillId="7" borderId="72" xfId="24" applyFont="1" applyFill="1" applyBorder="1" applyAlignment="1" applyProtection="1">
      <alignment horizontal="center" vertical="center"/>
      <protection hidden="1"/>
    </xf>
    <xf numFmtId="0" fontId="14" fillId="25" borderId="53" xfId="24" applyFont="1" applyFill="1" applyBorder="1" applyAlignment="1" applyProtection="1">
      <alignment horizontal="center" vertical="center" wrapText="1"/>
      <protection hidden="1"/>
    </xf>
    <xf numFmtId="0" fontId="14" fillId="25" borderId="15" xfId="24" applyFont="1" applyFill="1" applyBorder="1" applyAlignment="1" applyProtection="1">
      <alignment horizontal="center" vertical="center" wrapText="1"/>
      <protection hidden="1"/>
    </xf>
    <xf numFmtId="0" fontId="14" fillId="10" borderId="9" xfId="24" applyFont="1" applyFill="1" applyBorder="1" applyAlignment="1" applyProtection="1">
      <alignment horizontal="center" vertical="center" wrapText="1"/>
      <protection hidden="1"/>
    </xf>
    <xf numFmtId="0" fontId="14" fillId="10" borderId="15" xfId="24" applyFont="1" applyFill="1" applyBorder="1" applyAlignment="1" applyProtection="1">
      <alignment horizontal="center" vertical="center" wrapText="1"/>
      <protection hidden="1"/>
    </xf>
    <xf numFmtId="0" fontId="14" fillId="26" borderId="9" xfId="24" applyFont="1" applyFill="1" applyBorder="1" applyAlignment="1" applyProtection="1">
      <alignment horizontal="center" vertical="center" wrapText="1"/>
      <protection hidden="1"/>
    </xf>
    <xf numFmtId="0" fontId="14" fillId="26" borderId="8" xfId="24" applyFont="1" applyFill="1" applyBorder="1" applyAlignment="1" applyProtection="1">
      <alignment horizontal="center" vertical="center" wrapText="1"/>
      <protection hidden="1"/>
    </xf>
    <xf numFmtId="0" fontId="14" fillId="22" borderId="9" xfId="24" applyFont="1" applyFill="1" applyBorder="1" applyAlignment="1" applyProtection="1">
      <alignment horizontal="center" vertical="center" wrapText="1"/>
      <protection hidden="1"/>
    </xf>
    <xf numFmtId="0" fontId="14" fillId="22" borderId="15" xfId="24" applyFont="1" applyFill="1" applyBorder="1" applyAlignment="1" applyProtection="1">
      <alignment horizontal="center" vertical="center" wrapText="1"/>
      <protection hidden="1"/>
    </xf>
    <xf numFmtId="0" fontId="14" fillId="23" borderId="9" xfId="24" applyFont="1" applyFill="1" applyBorder="1" applyAlignment="1" applyProtection="1">
      <alignment horizontal="center" vertical="center" wrapText="1"/>
      <protection hidden="1"/>
    </xf>
    <xf numFmtId="0" fontId="14" fillId="23" borderId="15" xfId="24" applyFont="1" applyFill="1" applyBorder="1" applyAlignment="1" applyProtection="1">
      <alignment horizontal="center" vertical="center" wrapText="1"/>
      <protection hidden="1"/>
    </xf>
    <xf numFmtId="0" fontId="14" fillId="27" borderId="9" xfId="24" applyFont="1" applyFill="1" applyBorder="1" applyAlignment="1" applyProtection="1">
      <alignment horizontal="center" vertical="center" wrapText="1"/>
      <protection hidden="1"/>
    </xf>
    <xf numFmtId="0" fontId="14" fillId="27" borderId="17" xfId="24" applyFont="1" applyFill="1" applyBorder="1" applyAlignment="1" applyProtection="1">
      <alignment horizontal="center" vertical="center" wrapText="1"/>
      <protection hidden="1"/>
    </xf>
    <xf numFmtId="181" fontId="56" fillId="0" borderId="27" xfId="28" applyNumberFormat="1" applyFont="1" applyFill="1" applyBorder="1" applyAlignment="1" applyProtection="1">
      <alignment horizontal="center" vertical="center"/>
      <protection hidden="1"/>
    </xf>
    <xf numFmtId="181" fontId="56" fillId="0" borderId="1" xfId="28" applyNumberFormat="1" applyFont="1" applyFill="1" applyBorder="1" applyAlignment="1" applyProtection="1">
      <alignment horizontal="center" vertical="center"/>
      <protection hidden="1"/>
    </xf>
    <xf numFmtId="181" fontId="56" fillId="0" borderId="44" xfId="28" applyNumberFormat="1" applyFont="1" applyFill="1" applyBorder="1" applyAlignment="1" applyProtection="1">
      <alignment horizontal="center" vertical="center"/>
      <protection hidden="1"/>
    </xf>
    <xf numFmtId="0" fontId="55" fillId="24" borderId="44" xfId="24" applyFont="1" applyFill="1" applyBorder="1" applyAlignment="1" applyProtection="1">
      <alignment horizontal="center" vertical="center" wrapText="1"/>
      <protection hidden="1"/>
    </xf>
    <xf numFmtId="0" fontId="55" fillId="24" borderId="69" xfId="24" applyFont="1" applyFill="1" applyBorder="1" applyAlignment="1" applyProtection="1">
      <alignment horizontal="center" vertical="center" wrapText="1"/>
      <protection hidden="1"/>
    </xf>
    <xf numFmtId="0" fontId="19" fillId="11" borderId="73" xfId="24" applyFont="1" applyFill="1" applyBorder="1" applyAlignment="1" applyProtection="1">
      <alignment horizontal="center" vertical="center"/>
      <protection hidden="1"/>
    </xf>
    <xf numFmtId="0" fontId="19" fillId="11" borderId="42" xfId="24" applyFont="1" applyFill="1" applyBorder="1" applyAlignment="1" applyProtection="1">
      <alignment horizontal="center" vertical="center"/>
      <protection hidden="1"/>
    </xf>
    <xf numFmtId="181" fontId="56" fillId="4" borderId="27" xfId="28" applyNumberFormat="1" applyFont="1" applyFill="1" applyBorder="1" applyAlignment="1" applyProtection="1">
      <alignment horizontal="center" vertical="center"/>
      <protection hidden="1"/>
    </xf>
    <xf numFmtId="181" fontId="56" fillId="4" borderId="1" xfId="28" applyNumberFormat="1" applyFont="1" applyFill="1" applyBorder="1" applyAlignment="1" applyProtection="1">
      <alignment horizontal="center" vertical="center"/>
      <protection hidden="1"/>
    </xf>
    <xf numFmtId="181" fontId="56" fillId="4" borderId="44" xfId="28" applyNumberFormat="1" applyFont="1" applyFill="1" applyBorder="1" applyAlignment="1" applyProtection="1">
      <alignment horizontal="center" vertical="center"/>
      <protection hidden="1"/>
    </xf>
    <xf numFmtId="179" fontId="56" fillId="0" borderId="26" xfId="24" applyNumberFormat="1" applyFont="1" applyBorder="1" applyAlignment="1" applyProtection="1">
      <alignment horizontal="center" vertical="center"/>
      <protection hidden="1"/>
    </xf>
    <xf numFmtId="179" fontId="56" fillId="0" borderId="18" xfId="24" applyNumberFormat="1" applyFont="1" applyBorder="1" applyAlignment="1" applyProtection="1">
      <alignment horizontal="center" vertical="center"/>
      <protection hidden="1"/>
    </xf>
    <xf numFmtId="179" fontId="56" fillId="0" borderId="2" xfId="24" applyNumberFormat="1" applyFont="1" applyBorder="1" applyAlignment="1" applyProtection="1">
      <alignment horizontal="center" vertical="center"/>
      <protection hidden="1"/>
    </xf>
    <xf numFmtId="0" fontId="14" fillId="7" borderId="74" xfId="24" applyFont="1" applyFill="1" applyBorder="1" applyAlignment="1" applyProtection="1">
      <alignment horizontal="center" vertical="center" wrapText="1"/>
      <protection hidden="1"/>
    </xf>
    <xf numFmtId="0" fontId="14" fillId="7" borderId="71" xfId="24" applyFont="1" applyFill="1" applyBorder="1" applyAlignment="1" applyProtection="1">
      <alignment horizontal="center" vertical="center" wrapText="1"/>
      <protection hidden="1"/>
    </xf>
    <xf numFmtId="0" fontId="14" fillId="7" borderId="72" xfId="24" applyFont="1" applyFill="1" applyBorder="1" applyAlignment="1" applyProtection="1">
      <alignment horizontal="center" vertical="center" wrapText="1"/>
      <protection hidden="1"/>
    </xf>
    <xf numFmtId="0" fontId="14" fillId="7" borderId="51" xfId="24" applyFont="1" applyFill="1" applyBorder="1" applyAlignment="1" applyProtection="1">
      <alignment horizontal="center" vertical="center" wrapText="1"/>
      <protection hidden="1"/>
    </xf>
    <xf numFmtId="0" fontId="14" fillId="7" borderId="0" xfId="24" applyFont="1" applyFill="1" applyAlignment="1" applyProtection="1">
      <alignment horizontal="center" vertical="center" wrapText="1"/>
      <protection hidden="1"/>
    </xf>
    <xf numFmtId="0" fontId="14" fillId="7" borderId="52" xfId="24" applyFont="1" applyFill="1" applyBorder="1" applyAlignment="1" applyProtection="1">
      <alignment horizontal="center" vertical="center" wrapText="1"/>
      <protection hidden="1"/>
    </xf>
    <xf numFmtId="179" fontId="56" fillId="4" borderId="27" xfId="24" applyNumberFormat="1" applyFont="1" applyFill="1" applyBorder="1" applyAlignment="1" applyProtection="1">
      <alignment horizontal="center" vertical="center"/>
      <protection hidden="1"/>
    </xf>
    <xf numFmtId="179" fontId="56" fillId="4" borderId="1" xfId="24" applyNumberFormat="1" applyFont="1" applyFill="1" applyBorder="1" applyAlignment="1" applyProtection="1">
      <alignment horizontal="center" vertical="center"/>
      <protection hidden="1"/>
    </xf>
    <xf numFmtId="179" fontId="56" fillId="4" borderId="44" xfId="24" applyNumberFormat="1" applyFont="1" applyFill="1" applyBorder="1" applyAlignment="1" applyProtection="1">
      <alignment horizontal="center" vertical="center"/>
      <protection hidden="1"/>
    </xf>
    <xf numFmtId="169" fontId="56" fillId="0" borderId="37" xfId="26" applyNumberFormat="1" applyFont="1" applyFill="1" applyBorder="1" applyAlignment="1" applyProtection="1">
      <alignment horizontal="center" vertical="center"/>
      <protection hidden="1"/>
    </xf>
    <xf numFmtId="169" fontId="56" fillId="0" borderId="24" xfId="26" applyNumberFormat="1" applyFont="1" applyFill="1" applyBorder="1" applyAlignment="1" applyProtection="1">
      <alignment horizontal="center" vertical="center"/>
      <protection hidden="1"/>
    </xf>
    <xf numFmtId="169" fontId="56" fillId="0" borderId="39" xfId="26" applyNumberFormat="1" applyFont="1" applyFill="1" applyBorder="1" applyAlignment="1" applyProtection="1">
      <alignment horizontal="center" vertical="center"/>
      <protection hidden="1"/>
    </xf>
    <xf numFmtId="0" fontId="14" fillId="7" borderId="51" xfId="24" applyFont="1" applyFill="1" applyBorder="1" applyAlignment="1" applyProtection="1">
      <alignment horizontal="center" vertical="center"/>
      <protection hidden="1"/>
    </xf>
    <xf numFmtId="0" fontId="14" fillId="7" borderId="0" xfId="24" applyFont="1" applyFill="1" applyAlignment="1" applyProtection="1">
      <alignment horizontal="center" vertical="center"/>
      <protection hidden="1"/>
    </xf>
    <xf numFmtId="0" fontId="14" fillId="7" borderId="52" xfId="24" applyFont="1" applyFill="1" applyBorder="1" applyAlignment="1" applyProtection="1">
      <alignment horizontal="center" vertical="center"/>
      <protection hidden="1"/>
    </xf>
    <xf numFmtId="0" fontId="19" fillId="11" borderId="4" xfId="24" applyFont="1" applyFill="1" applyBorder="1" applyAlignment="1" applyProtection="1">
      <alignment horizontal="center" vertical="center"/>
      <protection hidden="1"/>
    </xf>
    <xf numFmtId="0" fontId="19" fillId="11" borderId="83" xfId="24" applyFont="1" applyFill="1" applyBorder="1" applyAlignment="1" applyProtection="1">
      <alignment horizontal="center" vertical="center"/>
      <protection hidden="1"/>
    </xf>
    <xf numFmtId="0" fontId="19" fillId="11" borderId="84" xfId="24" applyFont="1" applyFill="1" applyBorder="1" applyAlignment="1" applyProtection="1">
      <alignment horizontal="center" vertical="center"/>
      <protection hidden="1"/>
    </xf>
    <xf numFmtId="0" fontId="14" fillId="7" borderId="81" xfId="24" applyFont="1" applyFill="1" applyBorder="1" applyAlignment="1" applyProtection="1">
      <alignment horizontal="center" vertical="center" wrapText="1"/>
      <protection hidden="1"/>
    </xf>
    <xf numFmtId="0" fontId="14" fillId="7" borderId="23" xfId="24" applyFont="1" applyFill="1" applyBorder="1" applyAlignment="1" applyProtection="1">
      <alignment horizontal="center" vertical="center" wrapText="1"/>
      <protection hidden="1"/>
    </xf>
    <xf numFmtId="0" fontId="14" fillId="7" borderId="26" xfId="24" applyFont="1" applyFill="1" applyBorder="1" applyAlignment="1" applyProtection="1">
      <alignment horizontal="center" vertical="center" wrapText="1"/>
      <protection hidden="1"/>
    </xf>
    <xf numFmtId="179" fontId="56" fillId="0" borderId="27" xfId="24" applyNumberFormat="1" applyFont="1" applyBorder="1" applyAlignment="1" applyProtection="1">
      <alignment horizontal="center" vertical="center"/>
      <protection hidden="1"/>
    </xf>
    <xf numFmtId="179" fontId="56" fillId="0" borderId="1" xfId="24" applyNumberFormat="1" applyFont="1" applyBorder="1" applyAlignment="1" applyProtection="1">
      <alignment horizontal="center" vertical="center"/>
      <protection hidden="1"/>
    </xf>
    <xf numFmtId="179" fontId="56" fillId="0" borderId="44" xfId="24" applyNumberFormat="1" applyFont="1" applyBorder="1" applyAlignment="1" applyProtection="1">
      <alignment horizontal="center" vertical="center"/>
      <protection hidden="1"/>
    </xf>
    <xf numFmtId="0" fontId="14" fillId="7" borderId="70" xfId="24" applyFont="1" applyFill="1" applyBorder="1" applyAlignment="1" applyProtection="1">
      <alignment horizontal="center" vertical="center" wrapText="1"/>
      <protection hidden="1"/>
    </xf>
    <xf numFmtId="0" fontId="14" fillId="7" borderId="11" xfId="24" applyFont="1" applyFill="1" applyBorder="1" applyAlignment="1" applyProtection="1">
      <alignment horizontal="center" vertical="center" wrapText="1"/>
      <protection hidden="1"/>
    </xf>
    <xf numFmtId="0" fontId="14" fillId="7" borderId="10" xfId="24" applyFont="1" applyFill="1" applyBorder="1" applyAlignment="1" applyProtection="1">
      <alignment horizontal="center" vertical="center" wrapText="1"/>
      <protection hidden="1"/>
    </xf>
    <xf numFmtId="0" fontId="14" fillId="7" borderId="7" xfId="24" applyFont="1" applyFill="1" applyBorder="1" applyAlignment="1" applyProtection="1">
      <alignment horizontal="center" vertical="center" wrapText="1"/>
      <protection hidden="1"/>
    </xf>
    <xf numFmtId="0" fontId="14" fillId="7" borderId="73" xfId="24" applyFont="1" applyFill="1" applyBorder="1" applyAlignment="1" applyProtection="1">
      <alignment horizontal="center" vertical="center" wrapText="1"/>
      <protection hidden="1"/>
    </xf>
    <xf numFmtId="0" fontId="14" fillId="7" borderId="42" xfId="24" applyFont="1" applyFill="1" applyBorder="1" applyAlignment="1" applyProtection="1">
      <alignment horizontal="center" vertical="center" wrapText="1"/>
      <protection hidden="1"/>
    </xf>
    <xf numFmtId="0" fontId="29" fillId="7" borderId="74" xfId="24" applyFont="1" applyFill="1" applyBorder="1" applyAlignment="1" applyProtection="1">
      <alignment horizontal="center" vertical="center" wrapText="1"/>
      <protection hidden="1"/>
    </xf>
    <xf numFmtId="0" fontId="29" fillId="7" borderId="21" xfId="24" applyFont="1" applyFill="1" applyBorder="1" applyAlignment="1" applyProtection="1">
      <alignment horizontal="center" vertical="center" wrapText="1"/>
      <protection hidden="1"/>
    </xf>
    <xf numFmtId="0" fontId="29" fillId="7" borderId="72" xfId="24" applyFont="1" applyFill="1" applyBorder="1" applyAlignment="1" applyProtection="1">
      <alignment horizontal="center" vertical="center" wrapText="1"/>
      <protection hidden="1"/>
    </xf>
    <xf numFmtId="0" fontId="29" fillId="7" borderId="20" xfId="24" applyFont="1" applyFill="1" applyBorder="1" applyAlignment="1" applyProtection="1">
      <alignment horizontal="center" vertical="center" wrapText="1"/>
      <protection hidden="1"/>
    </xf>
    <xf numFmtId="0" fontId="14" fillId="7" borderId="67" xfId="24" applyFont="1" applyFill="1" applyBorder="1" applyAlignment="1" applyProtection="1">
      <alignment horizontal="center" vertical="center" wrapText="1"/>
      <protection hidden="1"/>
    </xf>
    <xf numFmtId="0" fontId="14" fillId="7" borderId="76" xfId="24" applyFont="1" applyFill="1" applyBorder="1" applyAlignment="1" applyProtection="1">
      <alignment horizontal="center" vertical="center" wrapText="1"/>
      <protection hidden="1"/>
    </xf>
    <xf numFmtId="0" fontId="56" fillId="24" borderId="74" xfId="24" applyFont="1" applyFill="1" applyBorder="1" applyAlignment="1" applyProtection="1">
      <alignment horizontal="center" vertical="center" textRotation="90"/>
      <protection hidden="1"/>
    </xf>
    <xf numFmtId="0" fontId="56" fillId="24" borderId="51" xfId="24" applyFont="1" applyFill="1" applyBorder="1" applyAlignment="1" applyProtection="1">
      <alignment horizontal="center" vertical="center" textRotation="90"/>
      <protection hidden="1"/>
    </xf>
    <xf numFmtId="0" fontId="56" fillId="24" borderId="67" xfId="24" applyFont="1" applyFill="1" applyBorder="1" applyAlignment="1" applyProtection="1">
      <alignment horizontal="center" vertical="center" textRotation="90"/>
      <protection hidden="1"/>
    </xf>
    <xf numFmtId="0" fontId="33" fillId="9" borderId="7" xfId="24" applyFont="1" applyFill="1" applyBorder="1" applyAlignment="1" applyProtection="1">
      <alignment horizontal="left" vertical="center"/>
      <protection hidden="1"/>
    </xf>
    <xf numFmtId="0" fontId="33" fillId="9" borderId="73" xfId="24" applyFont="1" applyFill="1" applyBorder="1" applyAlignment="1" applyProtection="1">
      <alignment horizontal="left" vertical="center"/>
      <protection hidden="1"/>
    </xf>
    <xf numFmtId="0" fontId="33" fillId="9" borderId="42" xfId="24" applyFont="1" applyFill="1" applyBorder="1" applyAlignment="1" applyProtection="1">
      <alignment horizontal="left" vertical="center"/>
      <protection hidden="1"/>
    </xf>
    <xf numFmtId="0" fontId="29" fillId="7" borderId="51" xfId="24" applyFont="1" applyFill="1" applyBorder="1" applyAlignment="1" applyProtection="1">
      <alignment horizontal="center" vertical="center" wrapText="1"/>
      <protection hidden="1"/>
    </xf>
    <xf numFmtId="0" fontId="29" fillId="7" borderId="0" xfId="24" applyFont="1" applyFill="1" applyAlignment="1" applyProtection="1">
      <alignment horizontal="center" vertical="center" wrapText="1"/>
      <protection hidden="1"/>
    </xf>
    <xf numFmtId="0" fontId="29" fillId="7" borderId="52" xfId="24" applyFont="1" applyFill="1" applyBorder="1" applyAlignment="1" applyProtection="1">
      <alignment horizontal="center" vertical="center" wrapText="1"/>
      <protection hidden="1"/>
    </xf>
    <xf numFmtId="0" fontId="29" fillId="7" borderId="68" xfId="24" applyFont="1" applyFill="1" applyBorder="1" applyAlignment="1" applyProtection="1">
      <alignment horizontal="center" vertical="center" wrapText="1"/>
      <protection hidden="1"/>
    </xf>
    <xf numFmtId="0" fontId="29" fillId="7" borderId="21" xfId="24" applyFont="1" applyFill="1" applyBorder="1" applyAlignment="1" applyProtection="1">
      <alignment horizontal="center" vertical="center"/>
      <protection hidden="1"/>
    </xf>
    <xf numFmtId="0" fontId="29" fillId="7" borderId="68" xfId="24" applyFont="1" applyFill="1" applyBorder="1" applyAlignment="1" applyProtection="1">
      <alignment horizontal="center" vertical="center"/>
      <protection hidden="1"/>
    </xf>
    <xf numFmtId="0" fontId="29" fillId="7" borderId="52" xfId="24" applyFont="1" applyFill="1" applyBorder="1" applyAlignment="1" applyProtection="1">
      <alignment horizontal="center" vertical="center"/>
      <protection hidden="1"/>
    </xf>
    <xf numFmtId="181" fontId="56" fillId="0" borderId="77" xfId="28" applyNumberFormat="1" applyFont="1" applyFill="1" applyBorder="1" applyAlignment="1" applyProtection="1">
      <alignment horizontal="center" vertical="center"/>
      <protection hidden="1"/>
    </xf>
    <xf numFmtId="181" fontId="56" fillId="0" borderId="8" xfId="28" applyNumberFormat="1" applyFont="1" applyFill="1" applyBorder="1" applyAlignment="1" applyProtection="1">
      <alignment horizontal="center" vertical="center"/>
      <protection hidden="1"/>
    </xf>
    <xf numFmtId="181" fontId="56" fillId="0" borderId="3" xfId="28" applyNumberFormat="1" applyFont="1" applyFill="1" applyBorder="1" applyAlignment="1" applyProtection="1">
      <alignment horizontal="center" vertical="center"/>
      <protection hidden="1"/>
    </xf>
    <xf numFmtId="181" fontId="56" fillId="0" borderId="26" xfId="28" applyNumberFormat="1" applyFont="1" applyFill="1" applyBorder="1" applyAlignment="1" applyProtection="1">
      <alignment horizontal="center" vertical="center"/>
      <protection hidden="1"/>
    </xf>
    <xf numFmtId="181" fontId="56" fillId="0" borderId="18" xfId="28" applyNumberFormat="1" applyFont="1" applyFill="1" applyBorder="1" applyAlignment="1" applyProtection="1">
      <alignment horizontal="center" vertical="center"/>
      <protection hidden="1"/>
    </xf>
    <xf numFmtId="181" fontId="56" fillId="0" borderId="2" xfId="28" applyNumberFormat="1" applyFont="1" applyFill="1" applyBorder="1" applyAlignment="1" applyProtection="1">
      <alignment horizontal="center" vertical="center"/>
      <protection hidden="1"/>
    </xf>
    <xf numFmtId="169" fontId="56" fillId="4" borderId="27" xfId="26" applyNumberFormat="1" applyFont="1" applyFill="1" applyBorder="1" applyAlignment="1" applyProtection="1">
      <alignment horizontal="center" vertical="center"/>
      <protection hidden="1"/>
    </xf>
    <xf numFmtId="7" fontId="56" fillId="24" borderId="53" xfId="24" applyNumberFormat="1" applyFont="1" applyFill="1" applyBorder="1" applyAlignment="1" applyProtection="1">
      <alignment horizontal="center" vertical="center"/>
      <protection hidden="1"/>
    </xf>
    <xf numFmtId="7" fontId="56" fillId="24" borderId="17" xfId="24" applyNumberFormat="1" applyFont="1" applyFill="1" applyBorder="1" applyAlignment="1" applyProtection="1">
      <alignment horizontal="center" vertical="center"/>
      <protection hidden="1"/>
    </xf>
    <xf numFmtId="7" fontId="56" fillId="24" borderId="4" xfId="24" applyNumberFormat="1" applyFont="1" applyFill="1" applyBorder="1" applyAlignment="1" applyProtection="1">
      <alignment horizontal="center" vertical="center"/>
      <protection hidden="1"/>
    </xf>
    <xf numFmtId="7" fontId="56" fillId="24" borderId="84" xfId="24" applyNumberFormat="1" applyFont="1" applyFill="1" applyBorder="1" applyAlignment="1" applyProtection="1">
      <alignment horizontal="center" vertical="center"/>
      <protection hidden="1"/>
    </xf>
    <xf numFmtId="7" fontId="55" fillId="11" borderId="7" xfId="27" applyNumberFormat="1" applyFont="1" applyFill="1" applyBorder="1" applyAlignment="1" applyProtection="1">
      <alignment horizontal="center" vertical="center"/>
      <protection hidden="1"/>
    </xf>
    <xf numFmtId="44" fontId="55" fillId="11" borderId="42" xfId="27" applyFont="1" applyFill="1" applyBorder="1" applyAlignment="1" applyProtection="1">
      <alignment horizontal="center" vertical="center"/>
      <protection hidden="1"/>
    </xf>
    <xf numFmtId="0" fontId="33" fillId="9" borderId="74" xfId="24" applyFont="1" applyFill="1" applyBorder="1" applyAlignment="1" applyProtection="1">
      <alignment horizontal="left" vertical="center"/>
      <protection hidden="1"/>
    </xf>
    <xf numFmtId="0" fontId="33" fillId="9" borderId="71" xfId="24" applyFont="1" applyFill="1" applyBorder="1" applyAlignment="1" applyProtection="1">
      <alignment horizontal="left" vertical="center"/>
      <protection hidden="1"/>
    </xf>
    <xf numFmtId="44" fontId="56" fillId="0" borderId="81" xfId="27" applyFont="1" applyFill="1" applyBorder="1" applyAlignment="1" applyProtection="1">
      <alignment horizontal="center" vertical="center"/>
      <protection hidden="1"/>
    </xf>
    <xf numFmtId="44" fontId="56" fillId="0" borderId="26" xfId="27" applyFont="1" applyFill="1" applyBorder="1" applyAlignment="1" applyProtection="1">
      <alignment horizontal="center" vertical="center"/>
      <protection hidden="1"/>
    </xf>
    <xf numFmtId="0" fontId="19" fillId="11" borderId="67" xfId="24" applyFont="1" applyFill="1" applyBorder="1" applyAlignment="1" applyProtection="1">
      <alignment horizontal="center" vertical="center"/>
      <protection hidden="1"/>
    </xf>
    <xf numFmtId="0" fontId="19" fillId="11" borderId="85" xfId="24" applyFont="1" applyFill="1" applyBorder="1" applyAlignment="1" applyProtection="1">
      <alignment horizontal="center" vertical="center"/>
      <protection hidden="1"/>
    </xf>
    <xf numFmtId="0" fontId="19" fillId="11" borderId="76" xfId="24" applyFont="1" applyFill="1" applyBorder="1" applyAlignment="1" applyProtection="1">
      <alignment horizontal="center" vertical="center"/>
      <protection hidden="1"/>
    </xf>
    <xf numFmtId="0" fontId="56" fillId="24" borderId="78" xfId="24" applyFont="1" applyFill="1" applyBorder="1" applyAlignment="1" applyProtection="1">
      <alignment horizontal="center" vertical="center" textRotation="90" wrapText="1"/>
      <protection hidden="1"/>
    </xf>
    <xf numFmtId="0" fontId="56" fillId="24" borderId="80" xfId="24" applyFont="1" applyFill="1" applyBorder="1" applyAlignment="1" applyProtection="1">
      <alignment horizontal="center" vertical="center" textRotation="90" wrapText="1"/>
      <protection hidden="1"/>
    </xf>
    <xf numFmtId="0" fontId="56" fillId="24" borderId="64" xfId="24" applyFont="1" applyFill="1" applyBorder="1" applyAlignment="1" applyProtection="1">
      <alignment horizontal="center" vertical="center" textRotation="90" wrapText="1"/>
      <protection hidden="1"/>
    </xf>
    <xf numFmtId="0" fontId="14" fillId="7" borderId="78" xfId="24" applyFont="1" applyFill="1" applyBorder="1" applyAlignment="1" applyProtection="1">
      <alignment horizontal="center" vertical="center" wrapText="1"/>
      <protection hidden="1"/>
    </xf>
    <xf numFmtId="0" fontId="14" fillId="7" borderId="60" xfId="24" applyFont="1" applyFill="1" applyBorder="1" applyAlignment="1" applyProtection="1">
      <alignment horizontal="center" vertical="center" wrapText="1"/>
      <protection hidden="1"/>
    </xf>
    <xf numFmtId="7" fontId="56" fillId="24" borderId="54" xfId="29" applyNumberFormat="1" applyFont="1" applyFill="1" applyBorder="1" applyAlignment="1" applyProtection="1">
      <alignment horizontal="center" vertical="center"/>
      <protection hidden="1"/>
    </xf>
    <xf numFmtId="7" fontId="56" fillId="24" borderId="56" xfId="29" applyNumberFormat="1" applyFont="1" applyFill="1" applyBorder="1" applyAlignment="1" applyProtection="1">
      <alignment horizontal="center" vertical="center"/>
      <protection hidden="1"/>
    </xf>
    <xf numFmtId="7" fontId="56" fillId="24" borderId="67" xfId="24" applyNumberFormat="1" applyFont="1" applyFill="1" applyBorder="1" applyAlignment="1" applyProtection="1">
      <alignment horizontal="center" vertical="center"/>
      <protection hidden="1"/>
    </xf>
    <xf numFmtId="7" fontId="56" fillId="24" borderId="76" xfId="24" applyNumberFormat="1" applyFont="1" applyFill="1" applyBorder="1" applyAlignment="1" applyProtection="1">
      <alignment horizontal="center" vertical="center"/>
      <protection hidden="1"/>
    </xf>
    <xf numFmtId="169" fontId="56" fillId="0" borderId="27" xfId="26" applyNumberFormat="1" applyFont="1" applyFill="1" applyBorder="1" applyAlignment="1" applyProtection="1">
      <alignment horizontal="center" vertical="center"/>
      <protection hidden="1"/>
    </xf>
    <xf numFmtId="0" fontId="33" fillId="9" borderId="74" xfId="24" applyFont="1" applyFill="1" applyBorder="1" applyAlignment="1" applyProtection="1">
      <alignment horizontal="center" vertical="center"/>
      <protection hidden="1"/>
    </xf>
    <xf numFmtId="0" fontId="33" fillId="9" borderId="71" xfId="24" applyFont="1" applyFill="1" applyBorder="1" applyAlignment="1" applyProtection="1">
      <alignment horizontal="center" vertical="center"/>
      <protection hidden="1"/>
    </xf>
    <xf numFmtId="0" fontId="33" fillId="9" borderId="73" xfId="24" applyFont="1" applyFill="1" applyBorder="1" applyAlignment="1" applyProtection="1">
      <alignment horizontal="center" vertical="center"/>
      <protection hidden="1"/>
    </xf>
    <xf numFmtId="0" fontId="33" fillId="9" borderId="42" xfId="24" applyFont="1" applyFill="1" applyBorder="1" applyAlignment="1" applyProtection="1">
      <alignment horizontal="center" vertical="center"/>
      <protection hidden="1"/>
    </xf>
    <xf numFmtId="168" fontId="56" fillId="4" borderId="78" xfId="26" applyNumberFormat="1" applyFont="1" applyFill="1" applyBorder="1" applyAlignment="1" applyProtection="1">
      <alignment horizontal="center" vertical="center"/>
      <protection hidden="1"/>
    </xf>
    <xf numFmtId="168" fontId="56" fillId="4" borderId="60" xfId="26" applyNumberFormat="1" applyFont="1" applyFill="1" applyBorder="1" applyAlignment="1" applyProtection="1">
      <alignment horizontal="center" vertical="center"/>
      <protection hidden="1"/>
    </xf>
    <xf numFmtId="179" fontId="56" fillId="0" borderId="36" xfId="2" applyNumberFormat="1" applyFont="1" applyBorder="1" applyAlignment="1" applyProtection="1">
      <alignment horizontal="center" vertical="center"/>
      <protection hidden="1"/>
    </xf>
    <xf numFmtId="179" fontId="56" fillId="0" borderId="28" xfId="2" applyNumberFormat="1" applyFont="1" applyBorder="1" applyAlignment="1" applyProtection="1">
      <alignment horizontal="center" vertical="center"/>
      <protection hidden="1"/>
    </xf>
    <xf numFmtId="170" fontId="62" fillId="4" borderId="78" xfId="26" applyNumberFormat="1" applyFont="1" applyFill="1" applyBorder="1" applyAlignment="1" applyProtection="1">
      <alignment horizontal="center" vertical="center" wrapText="1"/>
      <protection hidden="1"/>
    </xf>
    <xf numFmtId="170" fontId="62" fillId="4" borderId="60" xfId="26" applyNumberFormat="1" applyFont="1" applyFill="1" applyBorder="1" applyAlignment="1" applyProtection="1">
      <alignment horizontal="center" vertical="center" wrapText="1"/>
      <protection hidden="1"/>
    </xf>
    <xf numFmtId="0" fontId="14" fillId="7" borderId="38" xfId="24" applyFont="1" applyFill="1" applyBorder="1" applyAlignment="1" applyProtection="1">
      <alignment horizontal="center" vertical="center" wrapText="1"/>
      <protection hidden="1"/>
    </xf>
    <xf numFmtId="0" fontId="14" fillId="7" borderId="39" xfId="24" applyFont="1" applyFill="1" applyBorder="1" applyAlignment="1" applyProtection="1">
      <alignment horizontal="center" vertical="center" wrapText="1"/>
      <protection hidden="1"/>
    </xf>
    <xf numFmtId="0" fontId="19" fillId="11" borderId="3" xfId="24" applyFont="1" applyFill="1" applyBorder="1" applyAlignment="1" applyProtection="1">
      <alignment horizontal="center" vertical="center"/>
      <protection hidden="1"/>
    </xf>
  </cellXfs>
  <cellStyles count="30">
    <cellStyle name="Currency 2" xfId="3" xr:uid="{00000000-0005-0000-0000-000000000000}"/>
    <cellStyle name="Navadno" xfId="0" builtinId="0"/>
    <cellStyle name="Navadno 2" xfId="5" xr:uid="{00000000-0005-0000-0000-000002000000}"/>
    <cellStyle name="Navadno 2 2" xfId="11" xr:uid="{00000000-0005-0000-0000-000003000000}"/>
    <cellStyle name="Navadno 2 2 2" xfId="24" xr:uid="{BD5E903F-6DF7-4A71-97C2-1108F4445BD6}"/>
    <cellStyle name="Navadno 3" xfId="16" xr:uid="{00000000-0005-0000-0000-000004000000}"/>
    <cellStyle name="Navadno 4" xfId="17" xr:uid="{00000000-0005-0000-0000-000005000000}"/>
    <cellStyle name="Navadno 4 2" xfId="19" xr:uid="{00000000-0005-0000-0000-000006000000}"/>
    <cellStyle name="Navadno 5" xfId="18" xr:uid="{00000000-0005-0000-0000-000007000000}"/>
    <cellStyle name="Navadno 6" xfId="25" xr:uid="{0D99D3D1-DBF8-4594-9B9B-CDA20E10D13F}"/>
    <cellStyle name="Normal 2" xfId="2" xr:uid="{00000000-0005-0000-0000-000008000000}"/>
    <cellStyle name="Normal 2 2" xfId="15" xr:uid="{00000000-0005-0000-0000-000009000000}"/>
    <cellStyle name="Normal 3" xfId="1" xr:uid="{00000000-0005-0000-0000-00000A000000}"/>
    <cellStyle name="Odstotek" xfId="23" builtinId="5"/>
    <cellStyle name="Odstotek 2" xfId="7" xr:uid="{00000000-0005-0000-0000-00000C000000}"/>
    <cellStyle name="Odstotek 2 2" xfId="13" xr:uid="{00000000-0005-0000-0000-00000D000000}"/>
    <cellStyle name="Odstotek 3" xfId="21" xr:uid="{00000000-0005-0000-0000-00000E000000}"/>
    <cellStyle name="Percent 2" xfId="4" xr:uid="{00000000-0005-0000-0000-00000F000000}"/>
    <cellStyle name="Standard_Vorlage_Kalk_ AC 030123 2" xfId="8" xr:uid="{00000000-0005-0000-0000-000010000000}"/>
    <cellStyle name="Valuta" xfId="10" builtinId="4"/>
    <cellStyle name="Valuta 2" xfId="6" xr:uid="{00000000-0005-0000-0000-000012000000}"/>
    <cellStyle name="Valuta 2 2" xfId="27" xr:uid="{DC10BAF8-407F-4D48-AE6F-CD36CF1D21D2}"/>
    <cellStyle name="Valuta 2 2 2" xfId="28" xr:uid="{80A78527-001C-495E-849A-84825F5872A6}"/>
    <cellStyle name="Valuta 3" xfId="20" xr:uid="{00000000-0005-0000-0000-000013000000}"/>
    <cellStyle name="Valuta 4" xfId="29" xr:uid="{93C11454-9E78-4622-A373-B850ED82D4D9}"/>
    <cellStyle name="Valuta 5" xfId="14" xr:uid="{00000000-0005-0000-0000-000014000000}"/>
    <cellStyle name="Vejica" xfId="9" builtinId="3"/>
    <cellStyle name="Vejica 2" xfId="22" xr:uid="{00000000-0005-0000-0000-000016000000}"/>
    <cellStyle name="Vejica 3" xfId="12" xr:uid="{00000000-0005-0000-0000-000017000000}"/>
    <cellStyle name="Vejica 4" xfId="26" xr:uid="{84A918E2-C5EB-43C5-942D-C6521E2CC24E}"/>
  </cellStyles>
  <dxfs count="62">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strike val="0"/>
        <outline val="0"/>
        <shadow val="0"/>
        <u val="none"/>
        <vertAlign val="baseline"/>
        <color theme="1"/>
        <name val="Times New Roman"/>
        <family val="1"/>
        <charset val="238"/>
        <scheme val="none"/>
      </font>
    </dxf>
    <dxf>
      <font>
        <strike val="0"/>
        <outline val="0"/>
        <shadow val="0"/>
        <u val="none"/>
        <vertAlign val="baseline"/>
        <color theme="1"/>
        <name val="Times New Roman"/>
        <family val="1"/>
        <charset val="238"/>
        <scheme val="none"/>
      </font>
    </dxf>
    <dxf>
      <font>
        <strike val="0"/>
        <outline val="0"/>
        <shadow val="0"/>
        <u val="none"/>
        <vertAlign val="baseline"/>
        <color theme="1"/>
        <name val="Times New Roman"/>
        <family val="1"/>
        <charset val="238"/>
        <scheme val="none"/>
      </font>
    </dxf>
    <dxf>
      <font>
        <strike val="0"/>
        <outline val="0"/>
        <shadow val="0"/>
        <u val="none"/>
        <vertAlign val="baseline"/>
        <color theme="1"/>
        <name val="Times New Roman"/>
        <family val="1"/>
        <charset val="238"/>
        <scheme val="none"/>
      </font>
    </dxf>
    <dxf>
      <font>
        <b/>
        <i val="0"/>
        <strike val="0"/>
        <condense val="0"/>
        <extend val="0"/>
        <outline val="0"/>
        <shadow val="0"/>
        <u val="none"/>
        <vertAlign val="baseline"/>
        <sz val="11"/>
        <color theme="1"/>
        <name val="Times New Roman"/>
        <family val="1"/>
        <charset val="238"/>
        <scheme val="none"/>
      </font>
      <alignment horizontal="center" vertical="bottom" textRotation="0" wrapText="0" indent="0" justifyLastLine="0" shrinkToFit="0" readingOrder="0"/>
    </dxf>
    <dxf>
      <font>
        <strike val="0"/>
        <outline val="0"/>
        <shadow val="0"/>
        <u val="none"/>
        <vertAlign val="baseline"/>
        <color theme="1"/>
        <name val="Times New Roman"/>
        <family val="1"/>
        <charset val="238"/>
        <scheme val="none"/>
      </font>
    </dxf>
    <dxf>
      <font>
        <strike val="0"/>
        <outline val="0"/>
        <shadow val="0"/>
        <u val="none"/>
        <vertAlign val="baseline"/>
        <color theme="1"/>
        <name val="Times New Roman"/>
        <family val="1"/>
        <charset val="238"/>
        <scheme val="none"/>
      </font>
    </dxf>
  </dxfs>
  <tableStyles count="0" defaultTableStyle="TableStyleMedium2" defaultPivotStyle="PivotStyleMedium9"/>
  <colors>
    <mruColors>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7" displayName="Tabela7" ref="A5:E11" totalsRowShown="0" headerRowDxfId="61" dataDxfId="60">
  <autoFilter ref="A5:E11" xr:uid="{00000000-0009-0000-0100-000001000000}"/>
  <tableColumns count="5">
    <tableColumn id="1" xr3:uid="{00000000-0010-0000-0000-000001000000}" name="Št." dataDxfId="59"/>
    <tableColumn id="2" xr3:uid="{00000000-0010-0000-0000-000002000000}" name="ID" dataDxfId="58">
      <calculatedColumnFormula>'Referenčne količine'!B4</calculatedColumnFormula>
    </tableColumn>
    <tableColumn id="3" xr3:uid="{00000000-0010-0000-0000-000003000000}" name="Naziv objekta" dataDxfId="57">
      <calculatedColumnFormula>INDEX('Referenčne količine'!$C$4:$C$9,MATCH(Tabela7[[#This Row],[ID]],'Referenčne količine'!$B$4:$B$9,0))</calculatedColumnFormula>
    </tableColumn>
    <tableColumn id="4" xr3:uid="{00000000-0010-0000-0000-000004000000}" name="Naslov" dataDxfId="56">
      <calculatedColumnFormula>INDEX('Referenčne količine'!$D$4:$D$9,MATCH(Tabela7[[#This Row],[ID]],'Referenčne količine'!$B$4:$B$9,0))</calculatedColumnFormula>
    </tableColumn>
    <tableColumn id="5" xr3:uid="{00000000-0010-0000-0000-000005000000}" name="Tip objekta" dataDxfId="55">
      <calculatedColumnFormula>INDEX('Referenčne količine'!$E$4:$E$9,MATCH(Tabela7[[#This Row],[ID]],'Referenčne količine'!$B$4:$B$9,0))</calculatedColumnFormula>
    </tableColumn>
  </tableColumns>
  <tableStyleInfo name="TableStyleMedium1" showFirstColumn="0" showLastColumn="0" showRowStripes="1" showColumnStripes="0"/>
</table>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theme="8"/>
  </sheetPr>
  <dimension ref="A7:J37"/>
  <sheetViews>
    <sheetView view="pageBreakPreview" zoomScale="60" zoomScaleNormal="100" workbookViewId="0">
      <selection activeCell="E36" sqref="E36"/>
    </sheetView>
  </sheetViews>
  <sheetFormatPr defaultRowHeight="15" x14ac:dyDescent="0.25"/>
  <cols>
    <col min="1" max="3" width="9.140625" style="64"/>
    <col min="4" max="4" width="14.42578125" style="64" bestFit="1" customWidth="1"/>
    <col min="5" max="5" width="18.85546875" style="64" customWidth="1"/>
    <col min="6" max="6" width="13.7109375" style="64" customWidth="1"/>
    <col min="7" max="9" width="9.140625" style="64"/>
  </cols>
  <sheetData>
    <row r="7" spans="1:9" x14ac:dyDescent="0.25">
      <c r="B7" s="645"/>
      <c r="C7" s="645"/>
      <c r="D7" s="645"/>
      <c r="E7" s="645"/>
      <c r="F7" s="645"/>
      <c r="G7" s="645"/>
      <c r="H7" s="645"/>
    </row>
    <row r="8" spans="1:9" x14ac:dyDescent="0.25">
      <c r="B8" s="645"/>
      <c r="C8" s="645"/>
      <c r="D8" s="645"/>
      <c r="E8" s="645"/>
      <c r="F8" s="645"/>
      <c r="G8" s="645"/>
      <c r="H8" s="645"/>
    </row>
    <row r="9" spans="1:9" ht="86.25" customHeight="1" x14ac:dyDescent="0.25">
      <c r="B9" s="644" t="s">
        <v>472</v>
      </c>
      <c r="C9" s="644"/>
      <c r="D9" s="644"/>
      <c r="E9" s="644"/>
      <c r="F9" s="644"/>
      <c r="G9" s="644"/>
      <c r="H9" s="644"/>
    </row>
    <row r="12" spans="1:9" ht="15.75" x14ac:dyDescent="0.25">
      <c r="A12" s="646"/>
      <c r="B12" s="646"/>
      <c r="C12" s="646"/>
      <c r="D12" s="646"/>
      <c r="E12" s="646"/>
      <c r="F12" s="646"/>
      <c r="G12" s="646"/>
      <c r="H12" s="646"/>
      <c r="I12" s="646"/>
    </row>
    <row r="13" spans="1:9" ht="20.25" x14ac:dyDescent="0.3">
      <c r="C13" s="630" t="s">
        <v>471</v>
      </c>
    </row>
    <row r="14" spans="1:9" ht="25.5" x14ac:dyDescent="0.35">
      <c r="A14" s="647" t="s">
        <v>67</v>
      </c>
      <c r="B14" s="645"/>
      <c r="C14" s="645"/>
      <c r="D14" s="645"/>
      <c r="E14" s="645"/>
      <c r="F14" s="645"/>
      <c r="G14" s="645"/>
      <c r="H14" s="645"/>
      <c r="I14" s="645"/>
    </row>
    <row r="15" spans="1:9" ht="15" customHeight="1" x14ac:dyDescent="0.35">
      <c r="A15" s="65"/>
      <c r="B15" s="66"/>
      <c r="C15" s="66"/>
      <c r="D15" s="66"/>
      <c r="E15" s="66"/>
      <c r="F15" s="66"/>
      <c r="G15" s="66"/>
      <c r="H15" s="66"/>
      <c r="I15" s="66"/>
    </row>
    <row r="16" spans="1:9" ht="26.25" customHeight="1" x14ac:dyDescent="0.3">
      <c r="A16" s="642"/>
      <c r="B16" s="642"/>
      <c r="C16" s="642"/>
      <c r="D16" s="642"/>
      <c r="E16" s="642"/>
      <c r="F16" s="642"/>
      <c r="G16" s="642"/>
      <c r="H16" s="642"/>
      <c r="I16" s="642"/>
    </row>
    <row r="17" spans="1:9" ht="26.25" customHeight="1" x14ac:dyDescent="0.3">
      <c r="A17" s="642"/>
      <c r="B17" s="642"/>
      <c r="C17" s="642"/>
      <c r="D17" s="642"/>
      <c r="E17" s="642"/>
      <c r="F17" s="642"/>
      <c r="G17" s="642"/>
      <c r="H17" s="642"/>
      <c r="I17" s="642"/>
    </row>
    <row r="18" spans="1:9" ht="26.25" customHeight="1" x14ac:dyDescent="0.3">
      <c r="A18" s="67"/>
      <c r="B18" s="67"/>
      <c r="C18" s="67"/>
      <c r="D18" s="67"/>
      <c r="E18" s="67"/>
      <c r="F18" s="67"/>
      <c r="G18" s="67"/>
      <c r="H18" s="67"/>
      <c r="I18" s="67"/>
    </row>
    <row r="19" spans="1:9" ht="26.25" customHeight="1" x14ac:dyDescent="0.3">
      <c r="A19" s="67"/>
      <c r="B19" s="67"/>
      <c r="C19" s="67"/>
      <c r="D19" s="67"/>
      <c r="E19" s="67"/>
      <c r="F19" s="67"/>
      <c r="G19" s="67"/>
      <c r="H19" s="67"/>
      <c r="I19" s="67"/>
    </row>
    <row r="21" spans="1:9" ht="18.75" x14ac:dyDescent="0.3">
      <c r="A21" s="648" t="s">
        <v>29</v>
      </c>
      <c r="B21" s="648"/>
      <c r="C21" s="648"/>
      <c r="D21" s="648"/>
      <c r="E21" s="648"/>
      <c r="F21" s="648"/>
      <c r="G21" s="648"/>
      <c r="H21" s="648"/>
      <c r="I21" s="648"/>
    </row>
    <row r="22" spans="1:9" ht="20.25" x14ac:dyDescent="0.3">
      <c r="A22" s="67"/>
      <c r="B22" s="67"/>
      <c r="C22" s="67"/>
      <c r="D22" s="67"/>
      <c r="E22" s="67"/>
      <c r="F22" s="67"/>
      <c r="G22" s="67"/>
      <c r="H22" s="67"/>
      <c r="I22" s="67"/>
    </row>
    <row r="23" spans="1:9" x14ac:dyDescent="0.25">
      <c r="A23" s="641" t="s">
        <v>224</v>
      </c>
      <c r="B23" s="641"/>
      <c r="C23" s="641"/>
      <c r="D23" s="641"/>
      <c r="E23" s="641"/>
      <c r="F23" s="641"/>
      <c r="G23" s="641"/>
      <c r="H23" s="641"/>
      <c r="I23" s="641"/>
    </row>
    <row r="24" spans="1:9" x14ac:dyDescent="0.25">
      <c r="A24" s="641" t="s">
        <v>225</v>
      </c>
      <c r="B24" s="641"/>
      <c r="C24" s="641"/>
      <c r="D24" s="641"/>
      <c r="E24" s="641"/>
      <c r="F24" s="641"/>
      <c r="G24" s="641"/>
      <c r="H24" s="641"/>
      <c r="I24" s="641"/>
    </row>
    <row r="25" spans="1:9" x14ac:dyDescent="0.25">
      <c r="A25" s="641" t="s">
        <v>226</v>
      </c>
      <c r="B25" s="641"/>
      <c r="C25" s="641"/>
      <c r="D25" s="641"/>
      <c r="E25" s="641"/>
      <c r="F25" s="641"/>
      <c r="G25" s="641"/>
      <c r="H25" s="641"/>
      <c r="I25" s="641"/>
    </row>
    <row r="26" spans="1:9" x14ac:dyDescent="0.25">
      <c r="A26" s="641" t="s">
        <v>227</v>
      </c>
      <c r="B26" s="641"/>
      <c r="C26" s="641"/>
      <c r="D26" s="641"/>
      <c r="E26" s="641"/>
      <c r="F26" s="641"/>
      <c r="G26" s="641"/>
      <c r="H26" s="641"/>
      <c r="I26" s="641"/>
    </row>
    <row r="27" spans="1:9" x14ac:dyDescent="0.25">
      <c r="A27" s="641" t="s">
        <v>56</v>
      </c>
      <c r="B27" s="641"/>
      <c r="C27" s="641"/>
      <c r="D27" s="641"/>
      <c r="E27" s="641"/>
      <c r="F27" s="641"/>
      <c r="G27" s="641"/>
      <c r="H27" s="641"/>
      <c r="I27" s="641"/>
    </row>
    <row r="28" spans="1:9" x14ac:dyDescent="0.25">
      <c r="A28" s="641" t="s">
        <v>57</v>
      </c>
      <c r="B28" s="641"/>
      <c r="C28" s="641"/>
      <c r="D28" s="641"/>
      <c r="E28" s="641"/>
      <c r="F28" s="641"/>
      <c r="G28" s="641"/>
      <c r="H28" s="641"/>
      <c r="I28" s="641"/>
    </row>
    <row r="29" spans="1:9" x14ac:dyDescent="0.25">
      <c r="A29" s="641" t="s">
        <v>228</v>
      </c>
      <c r="B29" s="641"/>
      <c r="C29" s="641"/>
      <c r="D29" s="641"/>
      <c r="E29" s="641"/>
      <c r="F29" s="641"/>
      <c r="G29" s="641"/>
      <c r="H29" s="641"/>
      <c r="I29" s="641"/>
    </row>
    <row r="30" spans="1:9" x14ac:dyDescent="0.25">
      <c r="A30" s="641" t="s">
        <v>229</v>
      </c>
      <c r="B30" s="641"/>
      <c r="C30" s="641"/>
      <c r="D30" s="641"/>
      <c r="E30" s="641"/>
      <c r="F30" s="641"/>
      <c r="G30" s="641"/>
      <c r="H30" s="641"/>
      <c r="I30" s="641"/>
    </row>
    <row r="36" spans="2:10" x14ac:dyDescent="0.25">
      <c r="D36" s="64" t="s">
        <v>470</v>
      </c>
      <c r="E36" s="640">
        <f ca="1">TODAY()</f>
        <v>44522</v>
      </c>
    </row>
    <row r="37" spans="2:10" x14ac:dyDescent="0.25">
      <c r="B37" s="643"/>
      <c r="C37" s="643"/>
      <c r="D37" s="643"/>
      <c r="E37" s="643"/>
      <c r="F37" s="643"/>
      <c r="G37" s="643"/>
      <c r="H37" s="643"/>
      <c r="I37" s="643"/>
      <c r="J37" s="643"/>
    </row>
  </sheetData>
  <mergeCells count="17">
    <mergeCell ref="B7:H7"/>
    <mergeCell ref="B8:H8"/>
    <mergeCell ref="A12:I12"/>
    <mergeCell ref="A30:I30"/>
    <mergeCell ref="A14:I14"/>
    <mergeCell ref="A21:I21"/>
    <mergeCell ref="A27:I27"/>
    <mergeCell ref="A28:I28"/>
    <mergeCell ref="A29:I29"/>
    <mergeCell ref="A24:I24"/>
    <mergeCell ref="A23:I23"/>
    <mergeCell ref="A25:I25"/>
    <mergeCell ref="A26:I26"/>
    <mergeCell ref="A16:I16"/>
    <mergeCell ref="A17:I17"/>
    <mergeCell ref="B37:J37"/>
    <mergeCell ref="B9:H9"/>
  </mergeCells>
  <pageMargins left="0.7" right="0.7" top="0.75" bottom="0.75"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AB8AA-55D1-4C9B-B92A-A71ED5CD912F}">
  <sheetPr codeName="List10">
    <tabColor rgb="FFFF0000"/>
    <pageSetUpPr fitToPage="1"/>
  </sheetPr>
  <dimension ref="A1:Q125"/>
  <sheetViews>
    <sheetView topLeftCell="A85" workbookViewId="0">
      <selection activeCell="B124" sqref="B124:C125"/>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str">
        <f ca="1">INDEX('Referenčne količine'!$C$4:$C$9,MATCH('OB003'!B6,'Referenčne količine'!$B$4:$B$9,0))</f>
        <v>Vrtec Vnanje Gorice</v>
      </c>
      <c r="C4" s="675"/>
    </row>
    <row r="5" spans="1:7" x14ac:dyDescent="0.2">
      <c r="A5" s="4" t="s">
        <v>16</v>
      </c>
      <c r="B5" s="676" t="str">
        <f ca="1">INDEX('Referenčne količine'!$D$4:$D$9,MATCH('OB003'!B6,'Referenčne količine'!$B$4:$B$9,0))</f>
        <v>Nova pot 9
1351 Brezovica pri Ljubljani</v>
      </c>
      <c r="C5" s="677"/>
    </row>
    <row r="6" spans="1:7" x14ac:dyDescent="0.2">
      <c r="A6" s="4" t="s">
        <v>15</v>
      </c>
      <c r="B6" s="676" t="str">
        <f ca="1">RIGHT(CELL("filename",A1),5)</f>
        <v>OB003</v>
      </c>
      <c r="C6" s="677"/>
    </row>
    <row r="7" spans="1:7" x14ac:dyDescent="0.2">
      <c r="A7" s="4" t="s">
        <v>14</v>
      </c>
      <c r="B7" s="678">
        <f ca="1">INDEX('Referenčne količine'!$G$4:$G$9,MATCH('OB003'!B6,'Referenčne količine'!$B$4:$B$9,0))</f>
        <v>923.5</v>
      </c>
      <c r="C7" s="679"/>
      <c r="F7" s="214"/>
      <c r="G7" s="5"/>
    </row>
    <row r="8" spans="1:7" x14ac:dyDescent="0.2">
      <c r="A8" s="4" t="s">
        <v>294</v>
      </c>
      <c r="B8" s="680" t="str">
        <f ca="1">INDEX('Referenčne količine'!$P$4:$P$9,MATCH('OB003'!B6,'Referenčne količine'!$B$4:$B$9,0))</f>
        <v>ZP</v>
      </c>
      <c r="C8" s="681"/>
      <c r="F8" s="214"/>
      <c r="G8" s="5"/>
    </row>
    <row r="9" spans="1:7" x14ac:dyDescent="0.2">
      <c r="A9" s="4" t="s">
        <v>295</v>
      </c>
      <c r="B9" s="680" t="str">
        <f ca="1">INDEX('Referenčne količine'!$W$4:$W$9,MATCH('OB003'!B6,'Referenčne količine'!$B$4:$B$9,0))</f>
        <v/>
      </c>
      <c r="C9" s="681"/>
      <c r="F9" s="214"/>
      <c r="G9" s="5"/>
    </row>
    <row r="10" spans="1:7" ht="13.5" thickBot="1" x14ac:dyDescent="0.25">
      <c r="A10" s="213" t="s">
        <v>296</v>
      </c>
      <c r="B10" s="682" t="str">
        <f ca="1">INDEX('Referenčne količine'!$AD$4:$AD$9,MATCH('OB003'!B6,'Referenčne količine'!$B$4:$B$9,0))</f>
        <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f ca="1">INDEX('Referenčne količine'!$AK$4:$AK$9,MATCH('OB003'!$B$6,'Referenčne količine'!$B$4:$B$9,0))</f>
        <v>185929</v>
      </c>
      <c r="C14" s="11">
        <f ca="1">INDEX('Referenčne količine'!$AS$4:$AS$9,MATCH('OB003'!$B$6,'Referenčne količine'!$B$4:$B$9,0))</f>
        <v>185929</v>
      </c>
      <c r="E14" s="12"/>
      <c r="F14" s="215"/>
    </row>
    <row r="15" spans="1:7" x14ac:dyDescent="0.2">
      <c r="A15" s="13" t="s">
        <v>148</v>
      </c>
      <c r="B15" s="14">
        <f ca="1">INDEX('Referenčne količine'!$AM$4:$AM$9,MATCH('OB003'!$B$6,'Referenčne količine'!$B$4:$B$9,0))</f>
        <v>148743.20000000001</v>
      </c>
      <c r="C15" s="14">
        <f ca="1">INDEX('Referenčne količine'!$AT$4:$AT$9,MATCH('OB003'!$B$6,'Referenčne količine'!$B$4:$B$9,0))</f>
        <v>148743.20000000001</v>
      </c>
      <c r="E15" s="12"/>
      <c r="F15" s="215"/>
    </row>
    <row r="16" spans="1:7" x14ac:dyDescent="0.2">
      <c r="A16" s="15" t="s">
        <v>149</v>
      </c>
      <c r="B16" s="16">
        <f ca="1">INDEX('Referenčne količine'!$AO$4:$AO$9,MATCH('OB003'!$B$6,'Referenčne količine'!$B$4:$B$9,0))</f>
        <v>111305.8695094443</v>
      </c>
      <c r="C16" s="16">
        <f ca="1">INDEX('Referenčne količine'!$AW$4:$AW$9,MATCH('OB003'!$B$6,'Referenčne količine'!$B$4:$B$9,0))</f>
        <v>111305.8695094443</v>
      </c>
      <c r="E16" s="5"/>
      <c r="F16" s="214"/>
    </row>
    <row r="17" spans="1:6" x14ac:dyDescent="0.2">
      <c r="A17" s="17" t="s">
        <v>316</v>
      </c>
      <c r="B17" s="16">
        <f ca="1">INDEX('Referenčne količine'!$AP$4:$AP$9,MATCH('OB003'!$B$6,'Referenčne količine'!$B$4:$B$9,0))</f>
        <v>17849.184000000001</v>
      </c>
      <c r="C17" s="16">
        <f ca="1">INDEX('Referenčne količine'!$AX$4:$AX$9,MATCH('OB003'!$B$6,'Referenčne količine'!$B$4:$B$9,0))</f>
        <v>17849.184000000001</v>
      </c>
      <c r="E17" s="5"/>
      <c r="F17" s="214"/>
    </row>
    <row r="18" spans="1:6" x14ac:dyDescent="0.2">
      <c r="A18" s="15" t="s">
        <v>315</v>
      </c>
      <c r="B18" s="16">
        <f ca="1">INDEX('Referenčne količine'!$AQ$4:$AQ$9,MATCH('OB003'!$B$6,'Referenčne količine'!$B$4:$B$9,0))</f>
        <v>19588.146490555726</v>
      </c>
      <c r="C18" s="16">
        <f ca="1">INDEX('Referenčne količine'!$AY$4:$AY$9,MATCH('OB003'!$B$6,'Referenčne količine'!$B$4:$B$9,0))</f>
        <v>19588.146490555726</v>
      </c>
      <c r="E18" s="12"/>
      <c r="F18" s="215"/>
    </row>
    <row r="19" spans="1:6" x14ac:dyDescent="0.2">
      <c r="A19" s="15" t="s">
        <v>150</v>
      </c>
      <c r="B19" s="18">
        <f ca="1">INDEX('Referenčne količine'!$AL$4:$AL$9,MATCH('OB003'!$B$6,'Referenčne količine'!$B$4:$B$9,0))</f>
        <v>9895.1</v>
      </c>
      <c r="C19" s="18">
        <f ca="1">INDEX('Referenčne količine'!$AV$4:$AV$9,MATCH('OB003'!$B$6,'Referenčne količine'!$B$4:$B$9,0))</f>
        <v>9895.1</v>
      </c>
      <c r="E19" s="12"/>
      <c r="F19" s="215"/>
    </row>
    <row r="20" spans="1:6" ht="13.5" thickBot="1" x14ac:dyDescent="0.25">
      <c r="A20" s="19" t="s">
        <v>151</v>
      </c>
      <c r="B20" s="20">
        <f ca="1">INDEX('Referenčne količine'!$AN$4:$AN$9,MATCH('OB003'!$B$6,'Referenčne količine'!$B$4:$B$9,0))</f>
        <v>6.652472180240844E-2</v>
      </c>
      <c r="C20" s="20">
        <f ca="1">INDEX('Referenčne količine'!$AN$4:$AN$9,MATCH('OB003'!$B$6,'Referenčne količine'!$B$4:$B$9,0))</f>
        <v>6.652472180240844E-2</v>
      </c>
      <c r="E20" s="12"/>
      <c r="F20" s="215"/>
    </row>
    <row r="21" spans="1:6" x14ac:dyDescent="0.2">
      <c r="A21" s="9" t="s">
        <v>152</v>
      </c>
      <c r="B21" s="10">
        <f ca="1">INDEX('Referenčne količine'!$AZ$4:$AZ$9,MATCH('OB003'!$B$6,'Referenčne količine'!$B$4:$B$9,0))</f>
        <v>77650</v>
      </c>
      <c r="C21" s="10">
        <f ca="1">INDEX('Referenčne količine'!$BF$4:$BF$9,MATCH('OB003'!$B$6,'Referenčne količine'!$B$4:$B$9,0))</f>
        <v>77650</v>
      </c>
      <c r="E21" s="12"/>
      <c r="F21" s="215"/>
    </row>
    <row r="22" spans="1:6" x14ac:dyDescent="0.2">
      <c r="A22" s="21" t="s">
        <v>153</v>
      </c>
      <c r="B22" s="14">
        <f ca="1">INDEX('Referenčne količine'!$BC$4:$BC$9,MATCH('OB003'!$B$6,'Referenčne količine'!$B$4:$B$9,0))</f>
        <v>16594.079999999998</v>
      </c>
      <c r="C22" s="14">
        <f ca="1">INDEX('Referenčne količine'!$BH$4:$BH$9,MATCH('OB003'!$B$6,'Referenčne količine'!$B$4:$B$9,0))</f>
        <v>16594.079999999998</v>
      </c>
      <c r="E22" s="12"/>
      <c r="F22" s="215"/>
    </row>
    <row r="23" spans="1:6" x14ac:dyDescent="0.2">
      <c r="A23" s="21" t="s">
        <v>154</v>
      </c>
      <c r="B23" s="14">
        <f ca="1">INDEX('Referenčne količine'!$BD$4:$BD$9,MATCH('OB003'!$B$6,'Referenčne količine'!$B$4:$B$9,0))</f>
        <v>61055.92</v>
      </c>
      <c r="C23" s="14">
        <f ca="1">INDEX('Referenčne količine'!$BI$4:$BI$9,MATCH('OB003'!$B$6,'Referenčne količine'!$B$4:$B$9,0))</f>
        <v>61055.92</v>
      </c>
      <c r="E23" s="12"/>
      <c r="F23" s="215"/>
    </row>
    <row r="24" spans="1:6" x14ac:dyDescent="0.2">
      <c r="A24" s="22" t="s">
        <v>155</v>
      </c>
      <c r="B24" s="23">
        <f ca="1">INDEX('Referenčne količine'!$BA$4:$BA$9,MATCH('OB003'!$B$6,'Referenčne količine'!$B$4:$B$9,0))</f>
        <v>10990.410000000002</v>
      </c>
      <c r="C24" s="24">
        <f ca="1">INDEX('Referenčne količine'!$BG$4:$BG$9,MATCH('OB003'!$B$6,'Referenčne količine'!$B$4:$B$9,0))</f>
        <v>10990.410000000002</v>
      </c>
      <c r="D24" s="25"/>
      <c r="E24" s="12"/>
      <c r="F24" s="215"/>
    </row>
    <row r="25" spans="1:6" ht="13.5" thickBot="1" x14ac:dyDescent="0.25">
      <c r="A25" s="26" t="s">
        <v>156</v>
      </c>
      <c r="B25" s="62">
        <f ca="1">INDEX('Referenčne količine'!$BB$4:$BB$9,MATCH('OB003'!$B$6,'Referenčne količine'!$B$4:$B$9,0))</f>
        <v>0.14153779781068901</v>
      </c>
      <c r="C25" s="62">
        <f ca="1">INDEX('Referenčne količine'!$BB$4:$BB$9,MATCH('OB003'!$B$6,'Referenčne količine'!$B$4:$B$9,0))</f>
        <v>0.14153779781068901</v>
      </c>
      <c r="E25" s="12"/>
      <c r="F25" s="215"/>
    </row>
    <row r="26" spans="1:6" ht="14.45" customHeight="1" thickBot="1" x14ac:dyDescent="0.25">
      <c r="A26" s="27" t="s">
        <v>157</v>
      </c>
      <c r="B26" s="28">
        <f ca="1">INDEX('Referenčne količine'!$BK$4:$BK$9,MATCH('OB003'!$B$6,'Referenčne količine'!$B$4:$B$9,0))</f>
        <v>3983</v>
      </c>
      <c r="C26" s="29"/>
      <c r="E26" s="12"/>
      <c r="F26" s="636"/>
    </row>
    <row r="27" spans="1:6" ht="13.5" thickBot="1" x14ac:dyDescent="0.25">
      <c r="F27" s="637">
        <f ca="1">VALUE(RIGHT(CELL("filename",A1),2))</f>
        <v>3</v>
      </c>
    </row>
    <row r="28" spans="1:6" ht="25.5" x14ac:dyDescent="0.2">
      <c r="A28" s="219" t="s">
        <v>158</v>
      </c>
      <c r="B28" s="221" t="s">
        <v>299</v>
      </c>
      <c r="C28" s="222" t="s">
        <v>300</v>
      </c>
      <c r="D28" s="221" t="s">
        <v>302</v>
      </c>
      <c r="E28" s="221" t="s">
        <v>301</v>
      </c>
      <c r="F28" s="638"/>
    </row>
    <row r="29" spans="1:6" x14ac:dyDescent="0.2">
      <c r="A29" s="218"/>
      <c r="B29" s="226"/>
      <c r="C29" s="226"/>
      <c r="D29" s="226"/>
      <c r="E29" s="226"/>
      <c r="F29" s="639">
        <v>1</v>
      </c>
    </row>
    <row r="30" spans="1:6" ht="13.15" customHeight="1" x14ac:dyDescent="0.2">
      <c r="A30" s="218"/>
      <c r="B30" s="226"/>
      <c r="C30" s="226"/>
      <c r="D30" s="226"/>
      <c r="E30" s="226"/>
      <c r="F30" s="639">
        <f t="shared" ref="F30:F53" si="0">F29+1</f>
        <v>2</v>
      </c>
    </row>
    <row r="31" spans="1:6" x14ac:dyDescent="0.2">
      <c r="A31" s="218"/>
      <c r="B31" s="226"/>
      <c r="C31" s="226"/>
      <c r="D31" s="226"/>
      <c r="E31" s="226"/>
      <c r="F31" s="639">
        <f t="shared" si="0"/>
        <v>3</v>
      </c>
    </row>
    <row r="32" spans="1:6" x14ac:dyDescent="0.2">
      <c r="A32" s="218"/>
      <c r="B32" s="226"/>
      <c r="C32" s="226"/>
      <c r="D32" s="226"/>
      <c r="E32" s="226"/>
      <c r="F32" s="639">
        <f t="shared" si="0"/>
        <v>4</v>
      </c>
    </row>
    <row r="33" spans="1:6" x14ac:dyDescent="0.2">
      <c r="A33" s="218"/>
      <c r="B33" s="226"/>
      <c r="C33" s="226"/>
      <c r="D33" s="226"/>
      <c r="E33" s="226"/>
      <c r="F33" s="639">
        <f t="shared" si="0"/>
        <v>5</v>
      </c>
    </row>
    <row r="34" spans="1:6" s="30" customFormat="1" x14ac:dyDescent="0.2">
      <c r="A34" s="218"/>
      <c r="B34" s="226"/>
      <c r="C34" s="226"/>
      <c r="D34" s="226"/>
      <c r="E34" s="226"/>
      <c r="F34" s="639">
        <f t="shared" si="0"/>
        <v>6</v>
      </c>
    </row>
    <row r="35" spans="1:6" x14ac:dyDescent="0.2">
      <c r="A35" s="218"/>
      <c r="B35" s="226"/>
      <c r="C35" s="226"/>
      <c r="D35" s="226"/>
      <c r="E35" s="226"/>
      <c r="F35" s="639">
        <f t="shared" si="0"/>
        <v>7</v>
      </c>
    </row>
    <row r="36" spans="1:6" x14ac:dyDescent="0.2">
      <c r="A36" s="218"/>
      <c r="B36" s="226"/>
      <c r="C36" s="226"/>
      <c r="D36" s="226"/>
      <c r="E36" s="226"/>
      <c r="F36" s="639">
        <f t="shared" si="0"/>
        <v>8</v>
      </c>
    </row>
    <row r="37" spans="1:6" s="30" customFormat="1" x14ac:dyDescent="0.2">
      <c r="A37" s="218"/>
      <c r="B37" s="226"/>
      <c r="C37" s="226"/>
      <c r="D37" s="226"/>
      <c r="E37" s="226"/>
      <c r="F37" s="639">
        <f t="shared" si="0"/>
        <v>9</v>
      </c>
    </row>
    <row r="38" spans="1:6" x14ac:dyDescent="0.2">
      <c r="A38" s="218"/>
      <c r="B38" s="226"/>
      <c r="C38" s="226"/>
      <c r="D38" s="226"/>
      <c r="E38" s="226"/>
      <c r="F38" s="639">
        <f t="shared" si="0"/>
        <v>10</v>
      </c>
    </row>
    <row r="39" spans="1:6" x14ac:dyDescent="0.2">
      <c r="A39" s="218"/>
      <c r="B39" s="226"/>
      <c r="C39" s="226"/>
      <c r="D39" s="226"/>
      <c r="E39" s="226"/>
      <c r="F39" s="639">
        <f t="shared" si="0"/>
        <v>11</v>
      </c>
    </row>
    <row r="40" spans="1:6" ht="13.15" customHeight="1" x14ac:dyDescent="0.2">
      <c r="A40" s="218"/>
      <c r="B40" s="226"/>
      <c r="C40" s="226"/>
      <c r="D40" s="226"/>
      <c r="E40" s="226"/>
      <c r="F40" s="639">
        <f t="shared" si="0"/>
        <v>12</v>
      </c>
    </row>
    <row r="41" spans="1:6" x14ac:dyDescent="0.2">
      <c r="A41" s="218"/>
      <c r="B41" s="226"/>
      <c r="C41" s="226"/>
      <c r="D41" s="226"/>
      <c r="E41" s="226"/>
      <c r="F41" s="639">
        <f t="shared" si="0"/>
        <v>13</v>
      </c>
    </row>
    <row r="42" spans="1:6" x14ac:dyDescent="0.2">
      <c r="A42" s="218"/>
      <c r="B42" s="226"/>
      <c r="C42" s="226"/>
      <c r="D42" s="226"/>
      <c r="E42" s="226"/>
      <c r="F42" s="639">
        <f t="shared" si="0"/>
        <v>14</v>
      </c>
    </row>
    <row r="43" spans="1:6" x14ac:dyDescent="0.2">
      <c r="A43" s="218"/>
      <c r="B43" s="226"/>
      <c r="C43" s="226"/>
      <c r="D43" s="226"/>
      <c r="E43" s="226"/>
      <c r="F43" s="639">
        <f t="shared" si="0"/>
        <v>15</v>
      </c>
    </row>
    <row r="44" spans="1:6" x14ac:dyDescent="0.2">
      <c r="A44" s="218"/>
      <c r="B44" s="226"/>
      <c r="C44" s="226"/>
      <c r="D44" s="226"/>
      <c r="E44" s="226"/>
      <c r="F44" s="639">
        <f t="shared" si="0"/>
        <v>16</v>
      </c>
    </row>
    <row r="45" spans="1:6" ht="15" customHeight="1" x14ac:dyDescent="0.2">
      <c r="A45" s="218"/>
      <c r="B45" s="226"/>
      <c r="C45" s="226"/>
      <c r="D45" s="226"/>
      <c r="E45" s="226"/>
      <c r="F45" s="639">
        <f t="shared" si="0"/>
        <v>17</v>
      </c>
    </row>
    <row r="46" spans="1:6" x14ac:dyDescent="0.2">
      <c r="A46" s="218"/>
      <c r="B46" s="226"/>
      <c r="C46" s="226"/>
      <c r="D46" s="226"/>
      <c r="E46" s="226"/>
      <c r="F46" s="639">
        <f t="shared" si="0"/>
        <v>18</v>
      </c>
    </row>
    <row r="47" spans="1:6" x14ac:dyDescent="0.2">
      <c r="A47" s="218"/>
      <c r="B47" s="226"/>
      <c r="C47" s="226"/>
      <c r="D47" s="226"/>
      <c r="E47" s="226"/>
      <c r="F47" s="639">
        <f t="shared" si="0"/>
        <v>19</v>
      </c>
    </row>
    <row r="48" spans="1:6" x14ac:dyDescent="0.2">
      <c r="A48" s="218"/>
      <c r="B48" s="226"/>
      <c r="C48" s="226"/>
      <c r="D48" s="226"/>
      <c r="E48" s="226"/>
      <c r="F48" s="639">
        <f t="shared" si="0"/>
        <v>20</v>
      </c>
    </row>
    <row r="49" spans="1:17" x14ac:dyDescent="0.2">
      <c r="A49" s="218"/>
      <c r="B49" s="226"/>
      <c r="C49" s="226"/>
      <c r="D49" s="226"/>
      <c r="E49" s="226"/>
      <c r="F49" s="639">
        <f t="shared" si="0"/>
        <v>21</v>
      </c>
    </row>
    <row r="50" spans="1:17" x14ac:dyDescent="0.2">
      <c r="A50" s="218"/>
      <c r="B50" s="226"/>
      <c r="C50" s="226"/>
      <c r="D50" s="226"/>
      <c r="E50" s="226"/>
      <c r="F50" s="639">
        <f t="shared" si="0"/>
        <v>22</v>
      </c>
    </row>
    <row r="51" spans="1:17" x14ac:dyDescent="0.2">
      <c r="A51" s="218"/>
      <c r="B51" s="226"/>
      <c r="C51" s="226"/>
      <c r="D51" s="226"/>
      <c r="E51" s="226"/>
      <c r="F51" s="639">
        <f t="shared" si="0"/>
        <v>23</v>
      </c>
    </row>
    <row r="52" spans="1:17" x14ac:dyDescent="0.2">
      <c r="A52" s="218"/>
      <c r="B52" s="226"/>
      <c r="C52" s="226"/>
      <c r="D52" s="226"/>
      <c r="E52" s="226"/>
      <c r="F52" s="639">
        <f t="shared" si="0"/>
        <v>24</v>
      </c>
    </row>
    <row r="53" spans="1:17" ht="13.5" thickBot="1" x14ac:dyDescent="0.25">
      <c r="A53" s="218"/>
      <c r="B53" s="226"/>
      <c r="C53" s="226"/>
      <c r="D53" s="226"/>
      <c r="E53" s="226"/>
      <c r="F53" s="639">
        <f t="shared" si="0"/>
        <v>25</v>
      </c>
    </row>
    <row r="54" spans="1:17" ht="15.75" customHeight="1" thickBot="1" x14ac:dyDescent="0.25">
      <c r="A54" s="220" t="s">
        <v>298</v>
      </c>
      <c r="B54" s="227">
        <f>SUM(B29:B53)</f>
        <v>0</v>
      </c>
      <c r="C54" s="228">
        <f>SUM(C29:C53)</f>
        <v>0</v>
      </c>
      <c r="D54" s="227">
        <f>SUM(D29:D53)</f>
        <v>0</v>
      </c>
      <c r="E54" s="228">
        <f>SUM(E29:E53)</f>
        <v>0</v>
      </c>
      <c r="F54" s="639"/>
    </row>
    <row r="55" spans="1:17" ht="13.5" thickBot="1" x14ac:dyDescent="0.25">
      <c r="A55" s="225" t="s">
        <v>303</v>
      </c>
      <c r="B55" s="687"/>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c r="D60" s="5"/>
      <c r="E60" s="31"/>
      <c r="F60" s="216"/>
      <c r="G60" s="31"/>
      <c r="H60" s="31"/>
      <c r="I60" s="31"/>
      <c r="J60" s="31"/>
      <c r="K60" s="31"/>
      <c r="L60" s="31"/>
      <c r="M60" s="31"/>
      <c r="N60" s="31"/>
      <c r="O60" s="31"/>
      <c r="P60" s="31"/>
      <c r="Q60" s="31"/>
    </row>
    <row r="61" spans="1:17" x14ac:dyDescent="0.2">
      <c r="A61" s="689" t="s">
        <v>160</v>
      </c>
      <c r="B61" s="690"/>
      <c r="C61" s="34"/>
      <c r="E61" s="31"/>
      <c r="F61" s="217"/>
      <c r="G61" s="31"/>
      <c r="H61" s="31"/>
      <c r="I61" s="31"/>
      <c r="J61" s="31"/>
      <c r="K61" s="31"/>
      <c r="L61" s="31"/>
      <c r="M61" s="31"/>
      <c r="N61" s="31"/>
      <c r="O61" s="31"/>
      <c r="P61" s="31"/>
      <c r="Q61" s="31"/>
    </row>
    <row r="62" spans="1:17" x14ac:dyDescent="0.2">
      <c r="A62" s="15" t="s">
        <v>149</v>
      </c>
      <c r="B62" s="196"/>
      <c r="C62" s="38"/>
      <c r="E62" s="31"/>
      <c r="F62" s="217"/>
      <c r="G62" s="31"/>
      <c r="H62" s="31"/>
      <c r="I62" s="31"/>
      <c r="J62" s="31"/>
      <c r="K62" s="31"/>
      <c r="L62" s="31"/>
      <c r="M62" s="31"/>
      <c r="N62" s="31"/>
      <c r="O62" s="31"/>
      <c r="P62" s="31"/>
      <c r="Q62" s="31"/>
    </row>
    <row r="63" spans="1:17" x14ac:dyDescent="0.2">
      <c r="A63" s="17" t="s">
        <v>316</v>
      </c>
      <c r="B63" s="196"/>
      <c r="C63" s="38"/>
      <c r="E63" s="31"/>
      <c r="F63" s="217"/>
      <c r="G63" s="31"/>
      <c r="H63" s="31"/>
      <c r="I63" s="31"/>
      <c r="J63" s="31"/>
      <c r="K63" s="31"/>
      <c r="L63" s="31"/>
      <c r="M63" s="31"/>
      <c r="N63" s="31"/>
      <c r="O63" s="31"/>
      <c r="P63" s="31"/>
      <c r="Q63" s="31"/>
    </row>
    <row r="64" spans="1:17" x14ac:dyDescent="0.2">
      <c r="A64" s="15" t="s">
        <v>315</v>
      </c>
      <c r="B64" s="196"/>
      <c r="C64" s="38"/>
      <c r="E64" s="31"/>
      <c r="F64" s="217"/>
      <c r="G64" s="31"/>
      <c r="H64" s="31"/>
      <c r="I64" s="31"/>
      <c r="J64" s="31"/>
      <c r="K64" s="31"/>
      <c r="L64" s="31"/>
      <c r="M64" s="31"/>
      <c r="N64" s="31"/>
      <c r="O64" s="31"/>
      <c r="P64" s="31"/>
      <c r="Q64" s="31"/>
    </row>
    <row r="65" spans="1:17" x14ac:dyDescent="0.2">
      <c r="A65" s="693" t="s">
        <v>308</v>
      </c>
      <c r="B65" s="694"/>
      <c r="C65" s="35"/>
      <c r="E65" s="31"/>
      <c r="F65" s="217"/>
      <c r="G65" s="31"/>
      <c r="H65" s="31"/>
      <c r="I65" s="31"/>
      <c r="J65" s="31"/>
      <c r="K65" s="31"/>
      <c r="L65" s="31"/>
      <c r="M65" s="31"/>
      <c r="N65" s="31"/>
      <c r="O65" s="31"/>
      <c r="P65" s="31"/>
      <c r="Q65" s="31"/>
    </row>
    <row r="66" spans="1:17" x14ac:dyDescent="0.2">
      <c r="A66" s="195" t="s">
        <v>306</v>
      </c>
      <c r="B66" s="196"/>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195" t="s">
        <v>164</v>
      </c>
      <c r="B70" s="196"/>
      <c r="C70" s="40">
        <f ca="1">(C67+C68)*C20+C61*(C20-C65)</f>
        <v>0</v>
      </c>
      <c r="E70" s="31"/>
      <c r="F70" s="217"/>
      <c r="G70" s="31"/>
      <c r="H70" s="31"/>
      <c r="I70" s="31"/>
      <c r="J70" s="31"/>
      <c r="K70" s="31"/>
      <c r="L70" s="31"/>
      <c r="M70" s="31"/>
      <c r="N70" s="31"/>
      <c r="O70" s="31"/>
      <c r="P70" s="31"/>
      <c r="Q70" s="31"/>
    </row>
    <row r="71" spans="1:17" x14ac:dyDescent="0.2">
      <c r="A71" s="195" t="s">
        <v>165</v>
      </c>
      <c r="B71" s="196"/>
      <c r="C71" s="41">
        <f ca="1">(C67+C68)/C15</f>
        <v>0</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c r="E73" s="46"/>
    </row>
    <row r="74" spans="1:17" x14ac:dyDescent="0.2">
      <c r="A74" s="695" t="s">
        <v>153</v>
      </c>
      <c r="B74" s="696"/>
      <c r="C74" s="38"/>
      <c r="E74" s="46"/>
    </row>
    <row r="75" spans="1:17" x14ac:dyDescent="0.2">
      <c r="A75" s="695" t="s">
        <v>154</v>
      </c>
      <c r="B75" s="696"/>
      <c r="C75" s="38"/>
      <c r="E75" s="46"/>
    </row>
    <row r="76" spans="1:17" x14ac:dyDescent="0.2">
      <c r="A76" s="689" t="s">
        <v>166</v>
      </c>
      <c r="B76" s="690"/>
      <c r="C76" s="35"/>
    </row>
    <row r="77" spans="1:17" x14ac:dyDescent="0.2">
      <c r="A77" s="689" t="s">
        <v>167</v>
      </c>
      <c r="B77" s="690"/>
      <c r="C77" s="36">
        <f>ROUND(IF(C73=0,0,C21-C73),0)</f>
        <v>0</v>
      </c>
      <c r="D77" s="46"/>
    </row>
    <row r="78" spans="1:17" x14ac:dyDescent="0.2">
      <c r="A78" s="689" t="s">
        <v>168</v>
      </c>
      <c r="B78" s="690"/>
      <c r="C78" s="47"/>
    </row>
    <row r="79" spans="1:17" x14ac:dyDescent="0.2">
      <c r="A79" s="689" t="s">
        <v>169</v>
      </c>
      <c r="B79" s="690"/>
      <c r="C79" s="39">
        <f>C73*C76</f>
        <v>0</v>
      </c>
    </row>
    <row r="80" spans="1:17" x14ac:dyDescent="0.2">
      <c r="A80" s="191" t="s">
        <v>170</v>
      </c>
      <c r="B80" s="192"/>
      <c r="C80" s="40">
        <f ca="1">(C77+C78)*C25+C73*(C25-C76)</f>
        <v>0</v>
      </c>
    </row>
    <row r="81" spans="1:3" x14ac:dyDescent="0.2">
      <c r="A81" s="689" t="s">
        <v>171</v>
      </c>
      <c r="B81" s="690"/>
      <c r="C81" s="41">
        <f ca="1">(C77+C78)/C21</f>
        <v>0</v>
      </c>
    </row>
    <row r="82" spans="1:3" x14ac:dyDescent="0.2">
      <c r="A82" s="42"/>
      <c r="B82" s="43"/>
      <c r="C82" s="44"/>
    </row>
    <row r="83" spans="1:3" x14ac:dyDescent="0.2">
      <c r="A83" s="689" t="s">
        <v>172</v>
      </c>
      <c r="B83" s="690"/>
      <c r="C83" s="48"/>
    </row>
    <row r="84" spans="1:3" ht="15" x14ac:dyDescent="0.3">
      <c r="A84" s="689" t="s">
        <v>173</v>
      </c>
      <c r="B84" s="690"/>
      <c r="C84" s="232">
        <f ca="1">B26-C83</f>
        <v>3983</v>
      </c>
    </row>
    <row r="85" spans="1:3" ht="13.5" thickBot="1" x14ac:dyDescent="0.25">
      <c r="A85" s="193" t="s">
        <v>174</v>
      </c>
      <c r="B85" s="194"/>
      <c r="C85" s="233">
        <f ca="1">IF(B26&gt;0,C84/B26,0)</f>
        <v>1</v>
      </c>
    </row>
    <row r="86" spans="1:3" ht="13.5" thickBot="1" x14ac:dyDescent="0.25">
      <c r="C86" s="30"/>
    </row>
    <row r="87" spans="1:3" ht="13.5" thickBot="1" x14ac:dyDescent="0.25">
      <c r="A87" s="697" t="s">
        <v>175</v>
      </c>
      <c r="B87" s="698"/>
      <c r="C87" s="49">
        <f ca="1">C70+C80+C84</f>
        <v>3983</v>
      </c>
    </row>
    <row r="88" spans="1:3" ht="13.5" thickBot="1" x14ac:dyDescent="0.25">
      <c r="A88" s="699" t="s">
        <v>9</v>
      </c>
      <c r="B88" s="700"/>
      <c r="C88" s="50">
        <f ca="1">C107</f>
        <v>44284.537142325607</v>
      </c>
    </row>
    <row r="90" spans="1:3" x14ac:dyDescent="0.2">
      <c r="A90" s="701" t="s">
        <v>8</v>
      </c>
      <c r="B90" s="701"/>
      <c r="C90" s="701"/>
    </row>
    <row r="91" spans="1:3" x14ac:dyDescent="0.2">
      <c r="A91" s="190" t="s">
        <v>7</v>
      </c>
      <c r="B91" s="190" t="s">
        <v>6</v>
      </c>
      <c r="C91" s="190" t="s">
        <v>5</v>
      </c>
    </row>
    <row r="92" spans="1:3" x14ac:dyDescent="0.2">
      <c r="A92" s="51">
        <v>1</v>
      </c>
      <c r="B92" s="52">
        <f ca="1">$C$87</f>
        <v>3983</v>
      </c>
      <c r="C92" s="53">
        <f t="shared" ref="C92:C106" ca="1" si="1">B92/(1+$B$109)^A92</f>
        <v>3829.8076923076924</v>
      </c>
    </row>
    <row r="93" spans="1:3" x14ac:dyDescent="0.2">
      <c r="A93" s="51">
        <v>2</v>
      </c>
      <c r="B93" s="52">
        <f t="shared" ref="B93:B106" ca="1" si="2">$C$87</f>
        <v>3983</v>
      </c>
      <c r="C93" s="53">
        <f t="shared" ca="1" si="1"/>
        <v>3682.5073964497037</v>
      </c>
    </row>
    <row r="94" spans="1:3" x14ac:dyDescent="0.2">
      <c r="A94" s="51">
        <v>3</v>
      </c>
      <c r="B94" s="52">
        <f t="shared" ca="1" si="2"/>
        <v>3983</v>
      </c>
      <c r="C94" s="53">
        <f t="shared" ca="1" si="1"/>
        <v>3540.8724965862539</v>
      </c>
    </row>
    <row r="95" spans="1:3" x14ac:dyDescent="0.2">
      <c r="A95" s="51">
        <v>4</v>
      </c>
      <c r="B95" s="52">
        <f t="shared" ca="1" si="2"/>
        <v>3983</v>
      </c>
      <c r="C95" s="53">
        <f t="shared" ca="1" si="1"/>
        <v>3404.6850928713975</v>
      </c>
    </row>
    <row r="96" spans="1:3" x14ac:dyDescent="0.2">
      <c r="A96" s="51">
        <v>5</v>
      </c>
      <c r="B96" s="52">
        <f t="shared" ca="1" si="2"/>
        <v>3983</v>
      </c>
      <c r="C96" s="53">
        <f t="shared" ca="1" si="1"/>
        <v>3273.735666222497</v>
      </c>
    </row>
    <row r="97" spans="1:17" x14ac:dyDescent="0.2">
      <c r="A97" s="51">
        <v>6</v>
      </c>
      <c r="B97" s="52">
        <f t="shared" ca="1" si="2"/>
        <v>3983</v>
      </c>
      <c r="C97" s="53">
        <f t="shared" ca="1" si="1"/>
        <v>3147.8227559831703</v>
      </c>
    </row>
    <row r="98" spans="1:17" x14ac:dyDescent="0.2">
      <c r="A98" s="51">
        <v>7</v>
      </c>
      <c r="B98" s="52">
        <f t="shared" ca="1" si="2"/>
        <v>3983</v>
      </c>
      <c r="C98" s="53">
        <f t="shared" ca="1" si="1"/>
        <v>3026.7526499838177</v>
      </c>
    </row>
    <row r="99" spans="1:17" x14ac:dyDescent="0.2">
      <c r="A99" s="51">
        <v>8</v>
      </c>
      <c r="B99" s="52">
        <f t="shared" ca="1" si="2"/>
        <v>3983</v>
      </c>
      <c r="C99" s="53">
        <f t="shared" ca="1" si="1"/>
        <v>2910.3390865229012</v>
      </c>
    </row>
    <row r="100" spans="1:17" x14ac:dyDescent="0.2">
      <c r="A100" s="51">
        <v>9</v>
      </c>
      <c r="B100" s="52">
        <f t="shared" ca="1" si="2"/>
        <v>3983</v>
      </c>
      <c r="C100" s="53">
        <f t="shared" ca="1" si="1"/>
        <v>2798.4029678104816</v>
      </c>
    </row>
    <row r="101" spans="1:17" x14ac:dyDescent="0.2">
      <c r="A101" s="51">
        <v>10</v>
      </c>
      <c r="B101" s="52">
        <f t="shared" ca="1" si="2"/>
        <v>3983</v>
      </c>
      <c r="C101" s="53">
        <f t="shared" ca="1" si="1"/>
        <v>2690.7720844331557</v>
      </c>
    </row>
    <row r="102" spans="1:17" s="30" customFormat="1" x14ac:dyDescent="0.2">
      <c r="A102" s="51">
        <v>11</v>
      </c>
      <c r="B102" s="52">
        <f t="shared" ca="1" si="2"/>
        <v>3983</v>
      </c>
      <c r="C102" s="53">
        <f t="shared" ca="1" si="1"/>
        <v>2587.2808504164959</v>
      </c>
      <c r="D102" s="1"/>
      <c r="E102" s="1"/>
      <c r="G102" s="1"/>
      <c r="H102" s="1"/>
      <c r="I102" s="1"/>
      <c r="J102" s="1"/>
      <c r="K102" s="1"/>
      <c r="L102" s="1"/>
      <c r="M102" s="1"/>
      <c r="N102" s="1"/>
      <c r="O102" s="1"/>
      <c r="P102" s="1"/>
      <c r="Q102" s="1"/>
    </row>
    <row r="103" spans="1:17" s="30" customFormat="1" x14ac:dyDescent="0.2">
      <c r="A103" s="51">
        <v>12</v>
      </c>
      <c r="B103" s="52">
        <f t="shared" ca="1" si="2"/>
        <v>3983</v>
      </c>
      <c r="C103" s="53">
        <f t="shared" ca="1" si="1"/>
        <v>2487.7700484773995</v>
      </c>
      <c r="D103" s="1"/>
      <c r="E103" s="1"/>
      <c r="G103" s="1"/>
      <c r="H103" s="1"/>
      <c r="I103" s="1"/>
      <c r="J103" s="1"/>
      <c r="K103" s="1"/>
      <c r="L103" s="1"/>
      <c r="M103" s="1"/>
      <c r="N103" s="1"/>
      <c r="O103" s="1"/>
      <c r="P103" s="1"/>
      <c r="Q103" s="1"/>
    </row>
    <row r="104" spans="1:17" s="30" customFormat="1" x14ac:dyDescent="0.2">
      <c r="A104" s="51">
        <v>13</v>
      </c>
      <c r="B104" s="52">
        <f t="shared" ca="1" si="2"/>
        <v>3983</v>
      </c>
      <c r="C104" s="53">
        <f t="shared" ca="1" si="1"/>
        <v>2392.0865850744226</v>
      </c>
      <c r="D104" s="1"/>
      <c r="E104" s="1"/>
      <c r="G104" s="1"/>
      <c r="H104" s="1"/>
      <c r="I104" s="1"/>
      <c r="J104" s="1"/>
      <c r="K104" s="1"/>
      <c r="L104" s="1"/>
      <c r="M104" s="1"/>
      <c r="N104" s="1"/>
      <c r="O104" s="1"/>
      <c r="P104" s="1"/>
      <c r="Q104" s="1"/>
    </row>
    <row r="105" spans="1:17" s="30" customFormat="1" x14ac:dyDescent="0.2">
      <c r="A105" s="51">
        <v>14</v>
      </c>
      <c r="B105" s="52">
        <f t="shared" ca="1" si="2"/>
        <v>3983</v>
      </c>
      <c r="C105" s="53">
        <f t="shared" ca="1" si="1"/>
        <v>2300.0832548792523</v>
      </c>
      <c r="D105" s="1"/>
      <c r="E105" s="1"/>
      <c r="G105" s="1"/>
      <c r="H105" s="1"/>
      <c r="I105" s="1"/>
      <c r="J105" s="1"/>
      <c r="K105" s="1"/>
      <c r="L105" s="1"/>
      <c r="M105" s="1"/>
      <c r="N105" s="1"/>
      <c r="O105" s="1"/>
      <c r="P105" s="1"/>
      <c r="Q105" s="1"/>
    </row>
    <row r="106" spans="1:17" s="30" customFormat="1" x14ac:dyDescent="0.2">
      <c r="A106" s="51">
        <v>15</v>
      </c>
      <c r="B106" s="52">
        <f t="shared" ca="1" si="2"/>
        <v>3983</v>
      </c>
      <c r="C106" s="53">
        <f t="shared" ca="1" si="1"/>
        <v>2211.6185143069733</v>
      </c>
      <c r="D106" s="1"/>
      <c r="E106" s="1"/>
      <c r="G106" s="1"/>
      <c r="H106" s="1"/>
      <c r="I106" s="1"/>
      <c r="J106" s="1"/>
      <c r="K106" s="1"/>
      <c r="L106" s="1"/>
      <c r="M106" s="1"/>
      <c r="N106" s="1"/>
      <c r="O106" s="1"/>
      <c r="P106" s="1"/>
      <c r="Q106" s="1"/>
    </row>
    <row r="107" spans="1:17" s="30" customFormat="1" x14ac:dyDescent="0.2">
      <c r="A107" s="702" t="s">
        <v>4</v>
      </c>
      <c r="B107" s="702"/>
      <c r="C107" s="54">
        <f ca="1">SUM(C92:C106)</f>
        <v>44284.537142325607</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c r="C114" s="59">
        <f t="shared" ref="C114:C119" si="3">B114*$C$61</f>
        <v>0</v>
      </c>
      <c r="D114" s="237"/>
      <c r="E114" s="235"/>
      <c r="G114" s="1"/>
      <c r="H114" s="1"/>
      <c r="I114" s="1"/>
      <c r="J114" s="1"/>
      <c r="K114" s="1"/>
      <c r="L114" s="1"/>
      <c r="M114" s="1"/>
      <c r="N114" s="1"/>
      <c r="O114" s="1"/>
      <c r="P114" s="1"/>
      <c r="Q114" s="1"/>
    </row>
    <row r="115" spans="1:17" s="30" customFormat="1" x14ac:dyDescent="0.2">
      <c r="A115" s="241" t="s">
        <v>318</v>
      </c>
      <c r="B115" s="234"/>
      <c r="C115" s="59">
        <f t="shared" si="3"/>
        <v>0</v>
      </c>
      <c r="D115" s="237"/>
      <c r="E115" s="235"/>
      <c r="G115" s="1"/>
      <c r="H115" s="1"/>
      <c r="I115" s="1"/>
      <c r="J115" s="1"/>
      <c r="K115" s="1"/>
      <c r="L115" s="1"/>
      <c r="M115" s="1"/>
      <c r="N115" s="1"/>
      <c r="O115" s="1"/>
      <c r="P115" s="1"/>
      <c r="Q115" s="1"/>
    </row>
    <row r="116" spans="1:17" s="30" customFormat="1" x14ac:dyDescent="0.2">
      <c r="A116" s="241" t="s">
        <v>319</v>
      </c>
      <c r="B116" s="234"/>
      <c r="C116" s="59">
        <f t="shared" si="3"/>
        <v>0</v>
      </c>
      <c r="D116" s="237"/>
      <c r="E116" s="235"/>
      <c r="G116" s="1"/>
      <c r="H116" s="1"/>
      <c r="I116" s="1"/>
      <c r="J116" s="1"/>
      <c r="K116" s="1"/>
      <c r="L116" s="1"/>
      <c r="M116" s="1"/>
      <c r="N116" s="1"/>
      <c r="O116" s="1"/>
      <c r="P116" s="1"/>
      <c r="Q116" s="1"/>
    </row>
    <row r="117" spans="1:17" s="30" customFormat="1" x14ac:dyDescent="0.2">
      <c r="A117" s="241" t="s">
        <v>230</v>
      </c>
      <c r="B117" s="234"/>
      <c r="C117" s="59">
        <f t="shared" si="3"/>
        <v>0</v>
      </c>
      <c r="D117" s="237"/>
      <c r="E117" s="235"/>
      <c r="G117" s="1"/>
      <c r="H117" s="1"/>
      <c r="I117" s="1"/>
      <c r="J117" s="1"/>
      <c r="K117" s="1"/>
      <c r="L117" s="1"/>
      <c r="M117" s="1"/>
      <c r="N117" s="1"/>
      <c r="O117" s="1"/>
      <c r="P117" s="1"/>
      <c r="Q117" s="1"/>
    </row>
    <row r="118" spans="1:17" x14ac:dyDescent="0.2">
      <c r="A118" s="241" t="s">
        <v>83</v>
      </c>
      <c r="B118" s="234"/>
      <c r="C118" s="59">
        <f t="shared" si="3"/>
        <v>0</v>
      </c>
      <c r="D118" s="237"/>
      <c r="E118" s="235"/>
    </row>
    <row r="119" spans="1:17" x14ac:dyDescent="0.2">
      <c r="A119" s="241" t="s">
        <v>180</v>
      </c>
      <c r="B119" s="234"/>
      <c r="C119" s="59">
        <f t="shared" si="3"/>
        <v>0</v>
      </c>
      <c r="D119" s="237"/>
      <c r="E119" s="235"/>
    </row>
    <row r="120" spans="1:17" x14ac:dyDescent="0.2">
      <c r="A120" s="241" t="s">
        <v>231</v>
      </c>
      <c r="B120" s="234"/>
      <c r="C120" s="59">
        <f>B120*$C$61</f>
        <v>0</v>
      </c>
      <c r="D120" s="237"/>
      <c r="E120" s="235"/>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c r="C124" s="61"/>
    </row>
    <row r="125" spans="1:17" x14ac:dyDescent="0.2">
      <c r="A125" s="58" t="s">
        <v>184</v>
      </c>
      <c r="B125" s="61"/>
      <c r="C125" s="61"/>
    </row>
  </sheetData>
  <mergeCells count="34">
    <mergeCell ref="A90:C90"/>
    <mergeCell ref="A107:B107"/>
    <mergeCell ref="A74:B74"/>
    <mergeCell ref="A75:B75"/>
    <mergeCell ref="A79:B79"/>
    <mergeCell ref="A81:B81"/>
    <mergeCell ref="A83:B83"/>
    <mergeCell ref="A84:B84"/>
    <mergeCell ref="A87:B87"/>
    <mergeCell ref="A88:B88"/>
    <mergeCell ref="A78:B78"/>
    <mergeCell ref="A68:B68"/>
    <mergeCell ref="A69:B69"/>
    <mergeCell ref="A73:B73"/>
    <mergeCell ref="A76:B76"/>
    <mergeCell ref="A77:B77"/>
    <mergeCell ref="A67:B67"/>
    <mergeCell ref="B8:C8"/>
    <mergeCell ref="B9:C9"/>
    <mergeCell ref="B10:C10"/>
    <mergeCell ref="A12:C12"/>
    <mergeCell ref="B55:C55"/>
    <mergeCell ref="B56:C56"/>
    <mergeCell ref="B57:C57"/>
    <mergeCell ref="A59:C59"/>
    <mergeCell ref="A60:B60"/>
    <mergeCell ref="A61:B61"/>
    <mergeCell ref="A65:B65"/>
    <mergeCell ref="B7:C7"/>
    <mergeCell ref="A1:B1"/>
    <mergeCell ref="A3:C3"/>
    <mergeCell ref="B4:C4"/>
    <mergeCell ref="B5:C5"/>
    <mergeCell ref="B6:C6"/>
  </mergeCells>
  <conditionalFormatting sqref="C84">
    <cfRule type="cellIs" dxfId="53"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7205E-E03F-4C97-BBF8-DC731418E415}">
  <sheetPr codeName="List11">
    <tabColor rgb="FFFF0000"/>
    <pageSetUpPr fitToPage="1"/>
  </sheetPr>
  <dimension ref="A1:Q125"/>
  <sheetViews>
    <sheetView topLeftCell="A97" workbookViewId="0">
      <selection activeCell="B124" sqref="B124:C125"/>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str">
        <f ca="1">INDEX('Referenčne količine'!$C$4:$C$9,MATCH('OB004'!B6,'Referenčne količine'!$B$4:$B$9,0))</f>
        <v>Zdravstveni dom Podpeč</v>
      </c>
      <c r="C4" s="675"/>
    </row>
    <row r="5" spans="1:7" x14ac:dyDescent="0.2">
      <c r="A5" s="4" t="s">
        <v>16</v>
      </c>
      <c r="B5" s="676" t="str">
        <f ca="1">INDEX('Referenčne količine'!$D$4:$D$9,MATCH('OB004'!B6,'Referenčne količine'!$B$4:$B$9,0))</f>
        <v>Jezero 1, 
1352 Preserje</v>
      </c>
      <c r="C5" s="677"/>
    </row>
    <row r="6" spans="1:7" x14ac:dyDescent="0.2">
      <c r="A6" s="4" t="s">
        <v>15</v>
      </c>
      <c r="B6" s="676" t="str">
        <f ca="1">RIGHT(CELL("filename",A1),5)</f>
        <v>OB004</v>
      </c>
      <c r="C6" s="677"/>
    </row>
    <row r="7" spans="1:7" x14ac:dyDescent="0.2">
      <c r="A7" s="4" t="s">
        <v>14</v>
      </c>
      <c r="B7" s="678">
        <f ca="1">INDEX('Referenčne količine'!$G$4:$G$9,MATCH('OB004'!B6,'Referenčne količine'!$B$4:$B$9,0))</f>
        <v>548.5</v>
      </c>
      <c r="C7" s="679"/>
      <c r="F7" s="214"/>
      <c r="G7" s="5"/>
    </row>
    <row r="8" spans="1:7" x14ac:dyDescent="0.2">
      <c r="A8" s="4" t="s">
        <v>294</v>
      </c>
      <c r="B8" s="680" t="str">
        <f ca="1">INDEX('Referenčne količine'!$P$4:$P$9,MATCH('OB004'!B6,'Referenčne količine'!$B$4:$B$9,0))</f>
        <v>UNP</v>
      </c>
      <c r="C8" s="681"/>
      <c r="F8" s="214"/>
      <c r="G8" s="5"/>
    </row>
    <row r="9" spans="1:7" x14ac:dyDescent="0.2">
      <c r="A9" s="4" t="s">
        <v>295</v>
      </c>
      <c r="B9" s="680" t="str">
        <f ca="1">INDEX('Referenčne količine'!$W$4:$W$9,MATCH('OB004'!B6,'Referenčne količine'!$B$4:$B$9,0))</f>
        <v/>
      </c>
      <c r="C9" s="681"/>
      <c r="F9" s="214"/>
      <c r="G9" s="5"/>
    </row>
    <row r="10" spans="1:7" ht="13.5" thickBot="1" x14ac:dyDescent="0.25">
      <c r="A10" s="213" t="s">
        <v>296</v>
      </c>
      <c r="B10" s="682" t="str">
        <f ca="1">INDEX('Referenčne količine'!$AD$4:$AD$9,MATCH('OB004'!B6,'Referenčne količine'!$B$4:$B$9,0))</f>
        <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f ca="1">INDEX('Referenčne količine'!$AK$4:$AK$9,MATCH('OB004'!$B$6,'Referenčne količine'!$B$4:$B$9,0))</f>
        <v>75530.356666666645</v>
      </c>
      <c r="C14" s="11">
        <f ca="1">INDEX('Referenčne količine'!$AS$4:$AS$9,MATCH('OB004'!$B$6,'Referenčne količine'!$B$4:$B$9,0))</f>
        <v>75530.356666666645</v>
      </c>
      <c r="E14" s="12"/>
      <c r="F14" s="215"/>
    </row>
    <row r="15" spans="1:7" x14ac:dyDescent="0.2">
      <c r="A15" s="13" t="s">
        <v>148</v>
      </c>
      <c r="B15" s="14">
        <f ca="1">INDEX('Referenčne količine'!$AM$4:$AM$9,MATCH('OB004'!$B$6,'Referenčne količine'!$B$4:$B$9,0))</f>
        <v>61934.892466666643</v>
      </c>
      <c r="C15" s="14">
        <f ca="1">INDEX('Referenčne količine'!$AT$4:$AT$9,MATCH('OB004'!$B$6,'Referenčne količine'!$B$4:$B$9,0))</f>
        <v>61934.892466666643</v>
      </c>
      <c r="E15" s="12"/>
      <c r="F15" s="215"/>
    </row>
    <row r="16" spans="1:7" x14ac:dyDescent="0.2">
      <c r="A16" s="15" t="s">
        <v>149</v>
      </c>
      <c r="B16" s="16">
        <f ca="1">INDEX('Referenčne količine'!$AO$4:$AO$9,MATCH('OB004'!$B$6,'Referenčne količine'!$B$4:$B$9,0))</f>
        <v>59473.822466666657</v>
      </c>
      <c r="C16" s="16">
        <f ca="1">INDEX('Referenčne količine'!$AW$4:$AW$9,MATCH('OB004'!$B$6,'Referenčne količine'!$B$4:$B$9,0))</f>
        <v>59473.822466666657</v>
      </c>
      <c r="E16" s="5"/>
      <c r="F16" s="214"/>
    </row>
    <row r="17" spans="1:6" x14ac:dyDescent="0.2">
      <c r="A17" s="17" t="s">
        <v>316</v>
      </c>
      <c r="B17" s="16">
        <f ca="1">INDEX('Referenčne količine'!$AP$4:$AP$9,MATCH('OB004'!$B$6,'Referenčne količine'!$B$4:$B$9,0))</f>
        <v>2461.0700000000002</v>
      </c>
      <c r="C17" s="16">
        <f ca="1">INDEX('Referenčne količine'!$AX$4:$AX$9,MATCH('OB004'!$B$6,'Referenčne količine'!$B$4:$B$9,0))</f>
        <v>2461.0700000000002</v>
      </c>
      <c r="E17" s="5"/>
      <c r="F17" s="214"/>
    </row>
    <row r="18" spans="1:6" x14ac:dyDescent="0.2">
      <c r="A18" s="15" t="s">
        <v>315</v>
      </c>
      <c r="B18" s="16">
        <f ca="1">INDEX('Referenčne količine'!$AQ$4:$AQ$9,MATCH('OB004'!$B$6,'Referenčne količine'!$B$4:$B$9,0))</f>
        <v>0</v>
      </c>
      <c r="C18" s="16">
        <f ca="1">INDEX('Referenčne količine'!$AY$4:$AY$9,MATCH('OB004'!$B$6,'Referenčne količine'!$B$4:$B$9,0))</f>
        <v>0</v>
      </c>
      <c r="E18" s="12"/>
      <c r="F18" s="215"/>
    </row>
    <row r="19" spans="1:6" x14ac:dyDescent="0.2">
      <c r="A19" s="15" t="s">
        <v>150</v>
      </c>
      <c r="B19" s="18">
        <f ca="1">INDEX('Referenčne količine'!$AL$4:$AL$9,MATCH('OB004'!$B$6,'Referenčne količine'!$B$4:$B$9,0))</f>
        <v>6896.12</v>
      </c>
      <c r="C19" s="18">
        <f ca="1">INDEX('Referenčne količine'!$AV$4:$AV$9,MATCH('OB004'!$B$6,'Referenčne količine'!$B$4:$B$9,0))</f>
        <v>6896.12</v>
      </c>
      <c r="E19" s="12"/>
      <c r="F19" s="215"/>
    </row>
    <row r="20" spans="1:6" ht="13.5" thickBot="1" x14ac:dyDescent="0.25">
      <c r="A20" s="19" t="s">
        <v>151</v>
      </c>
      <c r="B20" s="20">
        <f ca="1">INDEX('Referenčne količine'!$AN$4:$AN$9,MATCH('OB004'!$B$6,'Referenčne količine'!$B$4:$B$9,0))</f>
        <v>0.11134466736519308</v>
      </c>
      <c r="C20" s="20">
        <f ca="1">INDEX('Referenčne količine'!$AN$4:$AN$9,MATCH('OB004'!$B$6,'Referenčne količine'!$B$4:$B$9,0))</f>
        <v>0.11134466736519308</v>
      </c>
      <c r="E20" s="12"/>
      <c r="F20" s="215"/>
    </row>
    <row r="21" spans="1:6" x14ac:dyDescent="0.2">
      <c r="A21" s="9" t="s">
        <v>152</v>
      </c>
      <c r="B21" s="10">
        <f ca="1">INDEX('Referenčne količine'!$AZ$4:$AZ$9,MATCH('OB004'!$B$6,'Referenčne količine'!$B$4:$B$9,0))</f>
        <v>9716.8333333333339</v>
      </c>
      <c r="C21" s="10">
        <f ca="1">INDEX('Referenčne količine'!$BF$4:$BF$9,MATCH('OB004'!$B$6,'Referenčne količine'!$B$4:$B$9,0))</f>
        <v>9716.8333333333339</v>
      </c>
      <c r="E21" s="12"/>
      <c r="F21" s="215"/>
    </row>
    <row r="22" spans="1:6" x14ac:dyDescent="0.2">
      <c r="A22" s="21" t="s">
        <v>153</v>
      </c>
      <c r="B22" s="14">
        <f ca="1">INDEX('Referenčne količine'!$BC$4:$BC$9,MATCH('OB004'!$B$6,'Referenčne količine'!$B$4:$B$9,0))</f>
        <v>5619.22</v>
      </c>
      <c r="C22" s="14">
        <f ca="1">INDEX('Referenčne količine'!$BH$4:$BH$9,MATCH('OB004'!$B$6,'Referenčne količine'!$B$4:$B$9,0))</f>
        <v>5619.22</v>
      </c>
      <c r="E22" s="12"/>
      <c r="F22" s="215"/>
    </row>
    <row r="23" spans="1:6" x14ac:dyDescent="0.2">
      <c r="A23" s="21" t="s">
        <v>154</v>
      </c>
      <c r="B23" s="14">
        <f ca="1">INDEX('Referenčne količine'!$BD$4:$BD$9,MATCH('OB004'!$B$6,'Referenčne količine'!$B$4:$B$9,0))</f>
        <v>4097.6133333333337</v>
      </c>
      <c r="C23" s="14">
        <f ca="1">INDEX('Referenčne količine'!$BI$4:$BI$9,MATCH('OB004'!$B$6,'Referenčne količine'!$B$4:$B$9,0))</f>
        <v>4097.6133333333337</v>
      </c>
      <c r="E23" s="12"/>
      <c r="F23" s="215"/>
    </row>
    <row r="24" spans="1:6" x14ac:dyDescent="0.2">
      <c r="A24" s="22" t="s">
        <v>155</v>
      </c>
      <c r="B24" s="23">
        <f ca="1">INDEX('Referenčne količine'!$BA$4:$BA$9,MATCH('OB004'!$B$6,'Referenčne količine'!$B$4:$B$9,0))</f>
        <v>1305.5040622280242</v>
      </c>
      <c r="C24" s="24">
        <f ca="1">INDEX('Referenčne količine'!$BG$4:$BG$9,MATCH('OB004'!$B$6,'Referenčne količine'!$B$4:$B$9,0))</f>
        <v>1305.5040622280242</v>
      </c>
      <c r="D24" s="25"/>
      <c r="E24" s="12"/>
      <c r="F24" s="215"/>
    </row>
    <row r="25" spans="1:6" ht="13.5" thickBot="1" x14ac:dyDescent="0.25">
      <c r="A25" s="26" t="s">
        <v>156</v>
      </c>
      <c r="B25" s="62">
        <f ca="1">INDEX('Referenčne količine'!$BB$4:$BB$9,MATCH('OB004'!$B$6,'Referenčne količine'!$B$4:$B$9,0))</f>
        <v>0.13435488882468816</v>
      </c>
      <c r="C25" s="62">
        <f ca="1">INDEX('Referenčne količine'!$BB$4:$BB$9,MATCH('OB004'!$B$6,'Referenčne količine'!$B$4:$B$9,0))</f>
        <v>0.13435488882468816</v>
      </c>
      <c r="E25" s="12"/>
      <c r="F25" s="215"/>
    </row>
    <row r="26" spans="1:6" ht="14.45" customHeight="1" thickBot="1" x14ac:dyDescent="0.25">
      <c r="A26" s="27" t="s">
        <v>157</v>
      </c>
      <c r="B26" s="28">
        <f ca="1">INDEX('Referenčne količine'!$BK$4:$BK$9,MATCH('OB004'!$B$6,'Referenčne količine'!$B$4:$B$9,0))</f>
        <v>1920</v>
      </c>
      <c r="C26" s="29"/>
      <c r="E26" s="12"/>
      <c r="F26" s="215"/>
    </row>
    <row r="27" spans="1:6" ht="13.5" thickBot="1" x14ac:dyDescent="0.25">
      <c r="F27" s="229">
        <f ca="1">VALUE(RIGHT(CELL("filename",A1),2))</f>
        <v>4</v>
      </c>
    </row>
    <row r="28" spans="1:6" ht="25.5" x14ac:dyDescent="0.2">
      <c r="A28" s="219" t="s">
        <v>158</v>
      </c>
      <c r="B28" s="221" t="s">
        <v>299</v>
      </c>
      <c r="C28" s="222" t="s">
        <v>300</v>
      </c>
      <c r="D28" s="221" t="s">
        <v>302</v>
      </c>
      <c r="E28" s="221" t="s">
        <v>301</v>
      </c>
      <c r="F28" s="230"/>
    </row>
    <row r="29" spans="1:6" x14ac:dyDescent="0.2">
      <c r="A29" s="218" t="s">
        <v>492</v>
      </c>
      <c r="B29" s="226"/>
      <c r="C29" s="226"/>
      <c r="D29" s="226"/>
      <c r="E29" s="226"/>
      <c r="F29" s="231">
        <v>1</v>
      </c>
    </row>
    <row r="30" spans="1:6" ht="13.15" customHeight="1" x14ac:dyDescent="0.2">
      <c r="A30" s="218" t="s">
        <v>491</v>
      </c>
      <c r="B30" s="226"/>
      <c r="C30" s="226"/>
      <c r="D30" s="226"/>
      <c r="E30" s="226"/>
      <c r="F30" s="231">
        <f t="shared" ref="F30:F53" si="0">F29+1</f>
        <v>2</v>
      </c>
    </row>
    <row r="31" spans="1:6" x14ac:dyDescent="0.2">
      <c r="A31" s="218" t="s">
        <v>491</v>
      </c>
      <c r="B31" s="226"/>
      <c r="C31" s="226"/>
      <c r="D31" s="226"/>
      <c r="E31" s="226"/>
      <c r="F31" s="231">
        <f t="shared" si="0"/>
        <v>3</v>
      </c>
    </row>
    <row r="32" spans="1:6" x14ac:dyDescent="0.2">
      <c r="A32" s="218" t="s">
        <v>491</v>
      </c>
      <c r="B32" s="226"/>
      <c r="C32" s="226"/>
      <c r="D32" s="226"/>
      <c r="E32" s="226"/>
      <c r="F32" s="231">
        <f t="shared" si="0"/>
        <v>4</v>
      </c>
    </row>
    <row r="33" spans="1:6" x14ac:dyDescent="0.2">
      <c r="A33" s="218" t="s">
        <v>491</v>
      </c>
      <c r="B33" s="226"/>
      <c r="C33" s="226"/>
      <c r="D33" s="226"/>
      <c r="E33" s="226"/>
      <c r="F33" s="231">
        <f t="shared" si="0"/>
        <v>5</v>
      </c>
    </row>
    <row r="34" spans="1:6" s="30" customFormat="1" x14ac:dyDescent="0.2">
      <c r="A34" s="218" t="s">
        <v>491</v>
      </c>
      <c r="B34" s="226"/>
      <c r="C34" s="226"/>
      <c r="D34" s="226"/>
      <c r="E34" s="226"/>
      <c r="F34" s="231">
        <f t="shared" si="0"/>
        <v>6</v>
      </c>
    </row>
    <row r="35" spans="1:6" x14ac:dyDescent="0.2">
      <c r="A35" s="218" t="s">
        <v>491</v>
      </c>
      <c r="B35" s="226"/>
      <c r="C35" s="226"/>
      <c r="D35" s="226"/>
      <c r="E35" s="226"/>
      <c r="F35" s="231">
        <f t="shared" si="0"/>
        <v>7</v>
      </c>
    </row>
    <row r="36" spans="1:6" x14ac:dyDescent="0.2">
      <c r="A36" s="218" t="s">
        <v>491</v>
      </c>
      <c r="B36" s="226"/>
      <c r="C36" s="226"/>
      <c r="D36" s="226"/>
      <c r="E36" s="226"/>
      <c r="F36" s="231">
        <f t="shared" si="0"/>
        <v>8</v>
      </c>
    </row>
    <row r="37" spans="1:6" s="30" customFormat="1" x14ac:dyDescent="0.2">
      <c r="A37" s="218" t="s">
        <v>491</v>
      </c>
      <c r="B37" s="226"/>
      <c r="C37" s="226"/>
      <c r="D37" s="226"/>
      <c r="E37" s="226"/>
      <c r="F37" s="231">
        <f t="shared" si="0"/>
        <v>9</v>
      </c>
    </row>
    <row r="38" spans="1:6" x14ac:dyDescent="0.2">
      <c r="A38" s="218" t="s">
        <v>491</v>
      </c>
      <c r="B38" s="226"/>
      <c r="C38" s="226"/>
      <c r="D38" s="226"/>
      <c r="E38" s="226"/>
      <c r="F38" s="231">
        <f t="shared" si="0"/>
        <v>10</v>
      </c>
    </row>
    <row r="39" spans="1:6" x14ac:dyDescent="0.2">
      <c r="A39" s="218" t="s">
        <v>493</v>
      </c>
      <c r="B39" s="226"/>
      <c r="C39" s="226"/>
      <c r="D39" s="226"/>
      <c r="E39" s="226"/>
      <c r="F39" s="231">
        <f t="shared" si="0"/>
        <v>11</v>
      </c>
    </row>
    <row r="40" spans="1:6" ht="13.15" customHeight="1" x14ac:dyDescent="0.2">
      <c r="A40" s="218" t="s">
        <v>491</v>
      </c>
      <c r="B40" s="226"/>
      <c r="C40" s="226"/>
      <c r="D40" s="226"/>
      <c r="E40" s="226"/>
      <c r="F40" s="231">
        <f t="shared" si="0"/>
        <v>12</v>
      </c>
    </row>
    <row r="41" spans="1:6" x14ac:dyDescent="0.2">
      <c r="A41" s="218" t="s">
        <v>494</v>
      </c>
      <c r="B41" s="226"/>
      <c r="C41" s="226"/>
      <c r="D41" s="226"/>
      <c r="E41" s="226"/>
      <c r="F41" s="231">
        <f t="shared" si="0"/>
        <v>13</v>
      </c>
    </row>
    <row r="42" spans="1:6" ht="24" x14ac:dyDescent="0.2">
      <c r="A42" s="218" t="s">
        <v>497</v>
      </c>
      <c r="B42" s="226"/>
      <c r="C42" s="226"/>
      <c r="D42" s="226"/>
      <c r="E42" s="226"/>
      <c r="F42" s="231">
        <f t="shared" si="0"/>
        <v>14</v>
      </c>
    </row>
    <row r="43" spans="1:6" x14ac:dyDescent="0.2">
      <c r="A43" s="218" t="s">
        <v>491</v>
      </c>
      <c r="B43" s="226"/>
      <c r="C43" s="226"/>
      <c r="D43" s="226"/>
      <c r="E43" s="226"/>
      <c r="F43" s="231">
        <f t="shared" si="0"/>
        <v>15</v>
      </c>
    </row>
    <row r="44" spans="1:6" x14ac:dyDescent="0.2">
      <c r="A44" s="218" t="s">
        <v>491</v>
      </c>
      <c r="B44" s="226"/>
      <c r="C44" s="226"/>
      <c r="D44" s="226"/>
      <c r="E44" s="226"/>
      <c r="F44" s="231">
        <f t="shared" si="0"/>
        <v>16</v>
      </c>
    </row>
    <row r="45" spans="1:6" ht="15" customHeight="1" x14ac:dyDescent="0.2">
      <c r="A45" s="218" t="s">
        <v>491</v>
      </c>
      <c r="B45" s="226"/>
      <c r="C45" s="226"/>
      <c r="D45" s="226"/>
      <c r="E45" s="226"/>
      <c r="F45" s="231">
        <f t="shared" si="0"/>
        <v>17</v>
      </c>
    </row>
    <row r="46" spans="1:6" x14ac:dyDescent="0.2">
      <c r="A46" s="218" t="s">
        <v>491</v>
      </c>
      <c r="B46" s="226"/>
      <c r="C46" s="226"/>
      <c r="D46" s="226"/>
      <c r="E46" s="226"/>
      <c r="F46" s="231">
        <f t="shared" si="0"/>
        <v>18</v>
      </c>
    </row>
    <row r="47" spans="1:6" x14ac:dyDescent="0.2">
      <c r="A47" s="218" t="s">
        <v>491</v>
      </c>
      <c r="B47" s="226"/>
      <c r="C47" s="226"/>
      <c r="D47" s="226"/>
      <c r="E47" s="226"/>
      <c r="F47" s="231">
        <f t="shared" si="0"/>
        <v>19</v>
      </c>
    </row>
    <row r="48" spans="1:6" x14ac:dyDescent="0.2">
      <c r="A48" s="218" t="s">
        <v>496</v>
      </c>
      <c r="B48" s="226"/>
      <c r="C48" s="226"/>
      <c r="D48" s="226"/>
      <c r="E48" s="226"/>
      <c r="F48" s="231">
        <f t="shared" si="0"/>
        <v>20</v>
      </c>
    </row>
    <row r="49" spans="1:17" x14ac:dyDescent="0.2">
      <c r="A49" s="218" t="s">
        <v>491</v>
      </c>
      <c r="B49" s="226"/>
      <c r="C49" s="226"/>
      <c r="D49" s="226"/>
      <c r="E49" s="226"/>
      <c r="F49" s="231">
        <f t="shared" si="0"/>
        <v>21</v>
      </c>
    </row>
    <row r="50" spans="1:17" x14ac:dyDescent="0.2">
      <c r="A50" s="218" t="s">
        <v>491</v>
      </c>
      <c r="B50" s="226"/>
      <c r="C50" s="226"/>
      <c r="D50" s="226"/>
      <c r="E50" s="226"/>
      <c r="F50" s="231">
        <f t="shared" si="0"/>
        <v>22</v>
      </c>
    </row>
    <row r="51" spans="1:17" x14ac:dyDescent="0.2">
      <c r="A51" s="218" t="s">
        <v>491</v>
      </c>
      <c r="B51" s="226"/>
      <c r="C51" s="226"/>
      <c r="D51" s="226"/>
      <c r="E51" s="226"/>
      <c r="F51" s="231">
        <f t="shared" si="0"/>
        <v>23</v>
      </c>
    </row>
    <row r="52" spans="1:17" x14ac:dyDescent="0.2">
      <c r="A52" s="218" t="s">
        <v>491</v>
      </c>
      <c r="B52" s="226"/>
      <c r="C52" s="226"/>
      <c r="D52" s="226"/>
      <c r="E52" s="226"/>
      <c r="F52" s="231">
        <f t="shared" si="0"/>
        <v>24</v>
      </c>
    </row>
    <row r="53" spans="1:17" ht="13.5" thickBot="1" x14ac:dyDescent="0.25">
      <c r="A53" s="218" t="s">
        <v>491</v>
      </c>
      <c r="B53" s="226"/>
      <c r="C53" s="226"/>
      <c r="D53" s="226"/>
      <c r="E53" s="226"/>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c r="D60" s="5"/>
      <c r="E60" s="31"/>
      <c r="F60" s="216"/>
      <c r="G60" s="31"/>
      <c r="H60" s="31"/>
      <c r="I60" s="31"/>
      <c r="J60" s="31"/>
      <c r="K60" s="31"/>
      <c r="L60" s="31"/>
      <c r="M60" s="31"/>
      <c r="N60" s="31"/>
      <c r="O60" s="31"/>
      <c r="P60" s="31"/>
      <c r="Q60" s="31"/>
    </row>
    <row r="61" spans="1:17" x14ac:dyDescent="0.2">
      <c r="A61" s="689" t="s">
        <v>160</v>
      </c>
      <c r="B61" s="690"/>
      <c r="C61" s="34"/>
      <c r="E61" s="31"/>
      <c r="F61" s="217"/>
      <c r="G61" s="31"/>
      <c r="H61" s="31"/>
      <c r="I61" s="31"/>
      <c r="J61" s="31"/>
      <c r="K61" s="31"/>
      <c r="L61" s="31"/>
      <c r="M61" s="31"/>
      <c r="N61" s="31"/>
      <c r="O61" s="31"/>
      <c r="P61" s="31"/>
      <c r="Q61" s="31"/>
    </row>
    <row r="62" spans="1:17" x14ac:dyDescent="0.2">
      <c r="A62" s="15" t="s">
        <v>149</v>
      </c>
      <c r="B62" s="196"/>
      <c r="C62" s="38"/>
      <c r="E62" s="31"/>
      <c r="F62" s="217"/>
      <c r="G62" s="31"/>
      <c r="H62" s="31"/>
      <c r="I62" s="31"/>
      <c r="J62" s="31"/>
      <c r="K62" s="31"/>
      <c r="L62" s="31"/>
      <c r="M62" s="31"/>
      <c r="N62" s="31"/>
      <c r="O62" s="31"/>
      <c r="P62" s="31"/>
      <c r="Q62" s="31"/>
    </row>
    <row r="63" spans="1:17" x14ac:dyDescent="0.2">
      <c r="A63" s="17" t="s">
        <v>316</v>
      </c>
      <c r="B63" s="196"/>
      <c r="C63" s="38"/>
      <c r="E63" s="31"/>
      <c r="F63" s="217"/>
      <c r="G63" s="31"/>
      <c r="H63" s="31"/>
      <c r="I63" s="31"/>
      <c r="J63" s="31"/>
      <c r="K63" s="31"/>
      <c r="L63" s="31"/>
      <c r="M63" s="31"/>
      <c r="N63" s="31"/>
      <c r="O63" s="31"/>
      <c r="P63" s="31"/>
      <c r="Q63" s="31"/>
    </row>
    <row r="64" spans="1:17" x14ac:dyDescent="0.2">
      <c r="A64" s="15" t="s">
        <v>315</v>
      </c>
      <c r="B64" s="196"/>
      <c r="C64" s="38"/>
      <c r="E64" s="31"/>
      <c r="F64" s="217"/>
      <c r="G64" s="31"/>
      <c r="H64" s="31"/>
      <c r="I64" s="31"/>
      <c r="J64" s="31"/>
      <c r="K64" s="31"/>
      <c r="L64" s="31"/>
      <c r="M64" s="31"/>
      <c r="N64" s="31"/>
      <c r="O64" s="31"/>
      <c r="P64" s="31"/>
      <c r="Q64" s="31"/>
    </row>
    <row r="65" spans="1:17" x14ac:dyDescent="0.2">
      <c r="A65" s="693" t="s">
        <v>308</v>
      </c>
      <c r="B65" s="694"/>
      <c r="C65" s="35"/>
      <c r="E65" s="31"/>
      <c r="F65" s="217"/>
      <c r="G65" s="31"/>
      <c r="H65" s="31"/>
      <c r="I65" s="31"/>
      <c r="J65" s="31"/>
      <c r="K65" s="31"/>
      <c r="L65" s="31"/>
      <c r="M65" s="31"/>
      <c r="N65" s="31"/>
      <c r="O65" s="31"/>
      <c r="P65" s="31"/>
      <c r="Q65" s="31"/>
    </row>
    <row r="66" spans="1:17" x14ac:dyDescent="0.2">
      <c r="A66" s="195" t="s">
        <v>306</v>
      </c>
      <c r="B66" s="196"/>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195" t="s">
        <v>164</v>
      </c>
      <c r="B70" s="196"/>
      <c r="C70" s="40">
        <f ca="1">(C67+C68)*C20+C61*(C20-C65)</f>
        <v>0</v>
      </c>
      <c r="E70" s="31"/>
      <c r="F70" s="217"/>
      <c r="G70" s="31"/>
      <c r="H70" s="31"/>
      <c r="I70" s="31"/>
      <c r="J70" s="31"/>
      <c r="K70" s="31"/>
      <c r="L70" s="31"/>
      <c r="M70" s="31"/>
      <c r="N70" s="31"/>
      <c r="O70" s="31"/>
      <c r="P70" s="31"/>
      <c r="Q70" s="31"/>
    </row>
    <row r="71" spans="1:17" x14ac:dyDescent="0.2">
      <c r="A71" s="195" t="s">
        <v>165</v>
      </c>
      <c r="B71" s="196"/>
      <c r="C71" s="41">
        <f ca="1">(C67+C68)/C15</f>
        <v>0</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c r="E73" s="46"/>
    </row>
    <row r="74" spans="1:17" x14ac:dyDescent="0.2">
      <c r="A74" s="695" t="s">
        <v>153</v>
      </c>
      <c r="B74" s="696"/>
      <c r="C74" s="38"/>
      <c r="E74" s="46"/>
    </row>
    <row r="75" spans="1:17" x14ac:dyDescent="0.2">
      <c r="A75" s="695" t="s">
        <v>154</v>
      </c>
      <c r="B75" s="696"/>
      <c r="C75" s="38"/>
      <c r="E75" s="46"/>
    </row>
    <row r="76" spans="1:17" x14ac:dyDescent="0.2">
      <c r="A76" s="689" t="s">
        <v>166</v>
      </c>
      <c r="B76" s="690"/>
      <c r="C76" s="35"/>
    </row>
    <row r="77" spans="1:17" x14ac:dyDescent="0.2">
      <c r="A77" s="689" t="s">
        <v>167</v>
      </c>
      <c r="B77" s="690"/>
      <c r="C77" s="36">
        <f>ROUND(IF(C73=0,0,C21-C73),0)</f>
        <v>0</v>
      </c>
      <c r="D77" s="46"/>
    </row>
    <row r="78" spans="1:17" x14ac:dyDescent="0.2">
      <c r="A78" s="689" t="s">
        <v>168</v>
      </c>
      <c r="B78" s="690"/>
      <c r="C78" s="47"/>
    </row>
    <row r="79" spans="1:17" x14ac:dyDescent="0.2">
      <c r="A79" s="689" t="s">
        <v>169</v>
      </c>
      <c r="B79" s="690"/>
      <c r="C79" s="39">
        <f>C73*C76</f>
        <v>0</v>
      </c>
    </row>
    <row r="80" spans="1:17" x14ac:dyDescent="0.2">
      <c r="A80" s="191" t="s">
        <v>170</v>
      </c>
      <c r="B80" s="192"/>
      <c r="C80" s="40">
        <f ca="1">(C77+C78)*C25+C73*(C25-C76)</f>
        <v>0</v>
      </c>
    </row>
    <row r="81" spans="1:3" x14ac:dyDescent="0.2">
      <c r="A81" s="689" t="s">
        <v>171</v>
      </c>
      <c r="B81" s="690"/>
      <c r="C81" s="41">
        <f ca="1">(C77+C78)/C21</f>
        <v>0</v>
      </c>
    </row>
    <row r="82" spans="1:3" x14ac:dyDescent="0.2">
      <c r="A82" s="42"/>
      <c r="B82" s="43"/>
      <c r="C82" s="44"/>
    </row>
    <row r="83" spans="1:3" x14ac:dyDescent="0.2">
      <c r="A83" s="689" t="s">
        <v>172</v>
      </c>
      <c r="B83" s="690"/>
      <c r="C83" s="48"/>
    </row>
    <row r="84" spans="1:3" ht="15" x14ac:dyDescent="0.3">
      <c r="A84" s="689" t="s">
        <v>173</v>
      </c>
      <c r="B84" s="690"/>
      <c r="C84" s="232">
        <f ca="1">B26-C83</f>
        <v>1920</v>
      </c>
    </row>
    <row r="85" spans="1:3" ht="13.5" thickBot="1" x14ac:dyDescent="0.25">
      <c r="A85" s="193" t="s">
        <v>174</v>
      </c>
      <c r="B85" s="194"/>
      <c r="C85" s="233">
        <f ca="1">IF(B26&gt;0,C84/B26,0)</f>
        <v>1</v>
      </c>
    </row>
    <row r="86" spans="1:3" ht="13.5" thickBot="1" x14ac:dyDescent="0.25">
      <c r="C86" s="30"/>
    </row>
    <row r="87" spans="1:3" ht="13.5" thickBot="1" x14ac:dyDescent="0.25">
      <c r="A87" s="697" t="s">
        <v>175</v>
      </c>
      <c r="B87" s="698"/>
      <c r="C87" s="49">
        <f ca="1">C70+C80+C84</f>
        <v>1920</v>
      </c>
    </row>
    <row r="88" spans="1:3" ht="13.5" thickBot="1" x14ac:dyDescent="0.25">
      <c r="A88" s="699" t="s">
        <v>9</v>
      </c>
      <c r="B88" s="700"/>
      <c r="C88" s="50">
        <f ca="1">C107</f>
        <v>21347.303869762785</v>
      </c>
    </row>
    <row r="90" spans="1:3" x14ac:dyDescent="0.2">
      <c r="A90" s="701" t="s">
        <v>8</v>
      </c>
      <c r="B90" s="701"/>
      <c r="C90" s="701"/>
    </row>
    <row r="91" spans="1:3" x14ac:dyDescent="0.2">
      <c r="A91" s="190" t="s">
        <v>7</v>
      </c>
      <c r="B91" s="190" t="s">
        <v>6</v>
      </c>
      <c r="C91" s="190" t="s">
        <v>5</v>
      </c>
    </row>
    <row r="92" spans="1:3" x14ac:dyDescent="0.2">
      <c r="A92" s="51">
        <v>1</v>
      </c>
      <c r="B92" s="52">
        <f ca="1">$C$87</f>
        <v>1920</v>
      </c>
      <c r="C92" s="53">
        <f t="shared" ref="C92:C106" ca="1" si="1">B92/(1+$B$109)^A92</f>
        <v>1846.1538461538462</v>
      </c>
    </row>
    <row r="93" spans="1:3" x14ac:dyDescent="0.2">
      <c r="A93" s="51">
        <v>2</v>
      </c>
      <c r="B93" s="52">
        <f t="shared" ref="B93:B106" ca="1" si="2">$C$87</f>
        <v>1920</v>
      </c>
      <c r="C93" s="53">
        <f t="shared" ca="1" si="1"/>
        <v>1775.1479289940826</v>
      </c>
    </row>
    <row r="94" spans="1:3" x14ac:dyDescent="0.2">
      <c r="A94" s="51">
        <v>3</v>
      </c>
      <c r="B94" s="52">
        <f t="shared" ca="1" si="2"/>
        <v>1920</v>
      </c>
      <c r="C94" s="53">
        <f t="shared" ca="1" si="1"/>
        <v>1706.8730086481564</v>
      </c>
    </row>
    <row r="95" spans="1:3" x14ac:dyDescent="0.2">
      <c r="A95" s="51">
        <v>4</v>
      </c>
      <c r="B95" s="52">
        <f t="shared" ca="1" si="2"/>
        <v>1920</v>
      </c>
      <c r="C95" s="53">
        <f t="shared" ca="1" si="1"/>
        <v>1641.2240467770732</v>
      </c>
    </row>
    <row r="96" spans="1:3" x14ac:dyDescent="0.2">
      <c r="A96" s="51">
        <v>5</v>
      </c>
      <c r="B96" s="52">
        <f t="shared" ca="1" si="2"/>
        <v>1920</v>
      </c>
      <c r="C96" s="53">
        <f t="shared" ca="1" si="1"/>
        <v>1578.1000449779549</v>
      </c>
    </row>
    <row r="97" spans="1:17" x14ac:dyDescent="0.2">
      <c r="A97" s="51">
        <v>6</v>
      </c>
      <c r="B97" s="52">
        <f t="shared" ca="1" si="2"/>
        <v>1920</v>
      </c>
      <c r="C97" s="53">
        <f t="shared" ca="1" si="1"/>
        <v>1517.4038894018797</v>
      </c>
    </row>
    <row r="98" spans="1:17" x14ac:dyDescent="0.2">
      <c r="A98" s="51">
        <v>7</v>
      </c>
      <c r="B98" s="52">
        <f t="shared" ca="1" si="2"/>
        <v>1920</v>
      </c>
      <c r="C98" s="53">
        <f t="shared" ca="1" si="1"/>
        <v>1459.0422013479615</v>
      </c>
    </row>
    <row r="99" spans="1:17" x14ac:dyDescent="0.2">
      <c r="A99" s="51">
        <v>8</v>
      </c>
      <c r="B99" s="52">
        <f t="shared" ca="1" si="2"/>
        <v>1920</v>
      </c>
      <c r="C99" s="53">
        <f t="shared" ca="1" si="1"/>
        <v>1402.9251936038088</v>
      </c>
    </row>
    <row r="100" spans="1:17" x14ac:dyDescent="0.2">
      <c r="A100" s="51">
        <v>9</v>
      </c>
      <c r="B100" s="52">
        <f t="shared" ca="1" si="2"/>
        <v>1920</v>
      </c>
      <c r="C100" s="53">
        <f t="shared" ca="1" si="1"/>
        <v>1348.9665323113545</v>
      </c>
    </row>
    <row r="101" spans="1:17" x14ac:dyDescent="0.2">
      <c r="A101" s="51">
        <v>10</v>
      </c>
      <c r="B101" s="52">
        <f t="shared" ca="1" si="2"/>
        <v>1920</v>
      </c>
      <c r="C101" s="53">
        <f t="shared" ca="1" si="1"/>
        <v>1297.0832041455333</v>
      </c>
    </row>
    <row r="102" spans="1:17" s="30" customFormat="1" x14ac:dyDescent="0.2">
      <c r="A102" s="51">
        <v>11</v>
      </c>
      <c r="B102" s="52">
        <f t="shared" ca="1" si="2"/>
        <v>1920</v>
      </c>
      <c r="C102" s="53">
        <f t="shared" ca="1" si="1"/>
        <v>1247.1953886014744</v>
      </c>
      <c r="D102" s="1"/>
      <c r="E102" s="1"/>
      <c r="G102" s="1"/>
      <c r="H102" s="1"/>
      <c r="I102" s="1"/>
      <c r="J102" s="1"/>
      <c r="K102" s="1"/>
      <c r="L102" s="1"/>
      <c r="M102" s="1"/>
      <c r="N102" s="1"/>
      <c r="O102" s="1"/>
      <c r="P102" s="1"/>
      <c r="Q102" s="1"/>
    </row>
    <row r="103" spans="1:17" s="30" customFormat="1" x14ac:dyDescent="0.2">
      <c r="A103" s="51">
        <v>12</v>
      </c>
      <c r="B103" s="52">
        <f t="shared" ca="1" si="2"/>
        <v>1920</v>
      </c>
      <c r="C103" s="53">
        <f t="shared" ca="1" si="1"/>
        <v>1199.2263351937252</v>
      </c>
      <c r="D103" s="1"/>
      <c r="E103" s="1"/>
      <c r="G103" s="1"/>
      <c r="H103" s="1"/>
      <c r="I103" s="1"/>
      <c r="J103" s="1"/>
      <c r="K103" s="1"/>
      <c r="L103" s="1"/>
      <c r="M103" s="1"/>
      <c r="N103" s="1"/>
      <c r="O103" s="1"/>
      <c r="P103" s="1"/>
      <c r="Q103" s="1"/>
    </row>
    <row r="104" spans="1:17" s="30" customFormat="1" x14ac:dyDescent="0.2">
      <c r="A104" s="51">
        <v>13</v>
      </c>
      <c r="B104" s="52">
        <f t="shared" ca="1" si="2"/>
        <v>1920</v>
      </c>
      <c r="C104" s="53">
        <f t="shared" ca="1" si="1"/>
        <v>1153.1022453785818</v>
      </c>
      <c r="D104" s="1"/>
      <c r="E104" s="1"/>
      <c r="G104" s="1"/>
      <c r="H104" s="1"/>
      <c r="I104" s="1"/>
      <c r="J104" s="1"/>
      <c r="K104" s="1"/>
      <c r="L104" s="1"/>
      <c r="M104" s="1"/>
      <c r="N104" s="1"/>
      <c r="O104" s="1"/>
      <c r="P104" s="1"/>
      <c r="Q104" s="1"/>
    </row>
    <row r="105" spans="1:17" s="30" customFormat="1" x14ac:dyDescent="0.2">
      <c r="A105" s="51">
        <v>14</v>
      </c>
      <c r="B105" s="52">
        <f t="shared" ca="1" si="2"/>
        <v>1920</v>
      </c>
      <c r="C105" s="53">
        <f t="shared" ca="1" si="1"/>
        <v>1108.7521590178671</v>
      </c>
      <c r="D105" s="1"/>
      <c r="E105" s="1"/>
      <c r="G105" s="1"/>
      <c r="H105" s="1"/>
      <c r="I105" s="1"/>
      <c r="J105" s="1"/>
      <c r="K105" s="1"/>
      <c r="L105" s="1"/>
      <c r="M105" s="1"/>
      <c r="N105" s="1"/>
      <c r="O105" s="1"/>
      <c r="P105" s="1"/>
      <c r="Q105" s="1"/>
    </row>
    <row r="106" spans="1:17" s="30" customFormat="1" x14ac:dyDescent="0.2">
      <c r="A106" s="51">
        <v>15</v>
      </c>
      <c r="B106" s="52">
        <f t="shared" ca="1" si="2"/>
        <v>1920</v>
      </c>
      <c r="C106" s="53">
        <f t="shared" ca="1" si="1"/>
        <v>1066.1078452094876</v>
      </c>
      <c r="D106" s="1"/>
      <c r="E106" s="1"/>
      <c r="G106" s="1"/>
      <c r="H106" s="1"/>
      <c r="I106" s="1"/>
      <c r="J106" s="1"/>
      <c r="K106" s="1"/>
      <c r="L106" s="1"/>
      <c r="M106" s="1"/>
      <c r="N106" s="1"/>
      <c r="O106" s="1"/>
      <c r="P106" s="1"/>
      <c r="Q106" s="1"/>
    </row>
    <row r="107" spans="1:17" s="30" customFormat="1" x14ac:dyDescent="0.2">
      <c r="A107" s="702" t="s">
        <v>4</v>
      </c>
      <c r="B107" s="702"/>
      <c r="C107" s="54">
        <f ca="1">SUM(C92:C106)</f>
        <v>21347.303869762785</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c r="C114" s="59">
        <f t="shared" ref="C114:C119" si="3">B114*$C$61</f>
        <v>0</v>
      </c>
      <c r="D114" s="237"/>
      <c r="E114" s="235"/>
      <c r="G114" s="1"/>
      <c r="H114" s="1"/>
      <c r="I114" s="1"/>
      <c r="J114" s="1"/>
      <c r="K114" s="1"/>
      <c r="L114" s="1"/>
      <c r="M114" s="1"/>
      <c r="N114" s="1"/>
      <c r="O114" s="1"/>
      <c r="P114" s="1"/>
      <c r="Q114" s="1"/>
    </row>
    <row r="115" spans="1:17" s="30" customFormat="1" x14ac:dyDescent="0.2">
      <c r="A115" s="241" t="s">
        <v>318</v>
      </c>
      <c r="B115" s="234"/>
      <c r="C115" s="59">
        <f t="shared" si="3"/>
        <v>0</v>
      </c>
      <c r="D115" s="237"/>
      <c r="E115" s="235"/>
      <c r="G115" s="1"/>
      <c r="H115" s="1"/>
      <c r="I115" s="1"/>
      <c r="J115" s="1"/>
      <c r="K115" s="1"/>
      <c r="L115" s="1"/>
      <c r="M115" s="1"/>
      <c r="N115" s="1"/>
      <c r="O115" s="1"/>
      <c r="P115" s="1"/>
      <c r="Q115" s="1"/>
    </row>
    <row r="116" spans="1:17" s="30" customFormat="1" x14ac:dyDescent="0.2">
      <c r="A116" s="241" t="s">
        <v>319</v>
      </c>
      <c r="B116" s="234"/>
      <c r="C116" s="59">
        <f t="shared" si="3"/>
        <v>0</v>
      </c>
      <c r="D116" s="237"/>
      <c r="E116" s="235"/>
      <c r="G116" s="1"/>
      <c r="H116" s="1"/>
      <c r="I116" s="1"/>
      <c r="J116" s="1"/>
      <c r="K116" s="1"/>
      <c r="L116" s="1"/>
      <c r="M116" s="1"/>
      <c r="N116" s="1"/>
      <c r="O116" s="1"/>
      <c r="P116" s="1"/>
      <c r="Q116" s="1"/>
    </row>
    <row r="117" spans="1:17" s="30" customFormat="1" x14ac:dyDescent="0.2">
      <c r="A117" s="241" t="s">
        <v>230</v>
      </c>
      <c r="B117" s="234"/>
      <c r="C117" s="59">
        <f t="shared" si="3"/>
        <v>0</v>
      </c>
      <c r="D117" s="237"/>
      <c r="E117" s="235"/>
      <c r="G117" s="1"/>
      <c r="H117" s="1"/>
      <c r="I117" s="1"/>
      <c r="J117" s="1"/>
      <c r="K117" s="1"/>
      <c r="L117" s="1"/>
      <c r="M117" s="1"/>
      <c r="N117" s="1"/>
      <c r="O117" s="1"/>
      <c r="P117" s="1"/>
      <c r="Q117" s="1"/>
    </row>
    <row r="118" spans="1:17" x14ac:dyDescent="0.2">
      <c r="A118" s="241" t="s">
        <v>83</v>
      </c>
      <c r="B118" s="234"/>
      <c r="C118" s="59">
        <f t="shared" si="3"/>
        <v>0</v>
      </c>
      <c r="D118" s="237"/>
      <c r="E118" s="235"/>
    </row>
    <row r="119" spans="1:17" x14ac:dyDescent="0.2">
      <c r="A119" s="241" t="s">
        <v>180</v>
      </c>
      <c r="B119" s="234"/>
      <c r="C119" s="59">
        <f t="shared" si="3"/>
        <v>0</v>
      </c>
      <c r="D119" s="237"/>
      <c r="E119" s="235"/>
    </row>
    <row r="120" spans="1:17" x14ac:dyDescent="0.2">
      <c r="A120" s="241" t="s">
        <v>231</v>
      </c>
      <c r="B120" s="234"/>
      <c r="C120" s="59">
        <f>B120*$C$61</f>
        <v>0</v>
      </c>
      <c r="D120" s="237"/>
      <c r="E120" s="235"/>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c r="C124" s="61"/>
    </row>
    <row r="125" spans="1:17" x14ac:dyDescent="0.2">
      <c r="A125" s="58" t="s">
        <v>184</v>
      </c>
      <c r="B125" s="61"/>
      <c r="C125" s="61"/>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52"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967AB-9AB7-4C1F-B0AA-09FF3C99023C}">
  <sheetPr>
    <tabColor rgb="FFFF0000"/>
    <pageSetUpPr fitToPage="1"/>
  </sheetPr>
  <dimension ref="A1:Q125"/>
  <sheetViews>
    <sheetView topLeftCell="A85" workbookViewId="0">
      <selection activeCell="B124" sqref="B124:C125"/>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str">
        <f ca="1">INDEX('Referenčne količine'!$C$4:$C$9,MATCH('OB005'!B6,'Referenčne količine'!$B$4:$B$9,0))</f>
        <v>Zadružni dom Vnanje Gorice</v>
      </c>
      <c r="C4" s="675"/>
    </row>
    <row r="5" spans="1:7" x14ac:dyDescent="0.2">
      <c r="A5" s="4" t="s">
        <v>16</v>
      </c>
      <c r="B5" s="676" t="str">
        <f ca="1">INDEX('Referenčne količine'!$D$4:$D$9,MATCH('OB005'!B6,'Referenčne količine'!$B$4:$B$9,0))</f>
        <v>Nova pot 5
1351 Brezovica pri Ljubljani</v>
      </c>
      <c r="C5" s="677"/>
    </row>
    <row r="6" spans="1:7" x14ac:dyDescent="0.2">
      <c r="A6" s="4" t="s">
        <v>15</v>
      </c>
      <c r="B6" s="676" t="str">
        <f ca="1">RIGHT(CELL("filename",A1),5)</f>
        <v>OB005</v>
      </c>
      <c r="C6" s="677"/>
    </row>
    <row r="7" spans="1:7" x14ac:dyDescent="0.2">
      <c r="A7" s="4" t="s">
        <v>14</v>
      </c>
      <c r="B7" s="678">
        <f ca="1">INDEX('Referenčne količine'!$G$4:$G$9,MATCH('OB005'!B6,'Referenčne količine'!$B$4:$B$9,0))</f>
        <v>630.5</v>
      </c>
      <c r="C7" s="679"/>
      <c r="F7" s="214"/>
      <c r="G7" s="5"/>
    </row>
    <row r="8" spans="1:7" x14ac:dyDescent="0.2">
      <c r="A8" s="4" t="s">
        <v>294</v>
      </c>
      <c r="B8" s="680" t="str">
        <f ca="1">INDEX('Referenčne količine'!$P$4:$P$9,MATCH('OB005'!B6,'Referenčne količine'!$B$4:$B$9,0))</f>
        <v>ZP</v>
      </c>
      <c r="C8" s="681"/>
      <c r="F8" s="214"/>
      <c r="G8" s="5"/>
    </row>
    <row r="9" spans="1:7" x14ac:dyDescent="0.2">
      <c r="A9" s="4" t="s">
        <v>295</v>
      </c>
      <c r="B9" s="680" t="str">
        <f ca="1">INDEX('Referenčne količine'!$W$4:$W$9,MATCH('OB005'!B6,'Referenčne količine'!$B$4:$B$9,0))</f>
        <v/>
      </c>
      <c r="C9" s="681"/>
      <c r="F9" s="214"/>
      <c r="G9" s="5"/>
    </row>
    <row r="10" spans="1:7" ht="13.5" thickBot="1" x14ac:dyDescent="0.25">
      <c r="A10" s="213" t="s">
        <v>296</v>
      </c>
      <c r="B10" s="682" t="str">
        <f ca="1">INDEX('Referenčne količine'!$AD$4:$AD$9,MATCH('OB005'!B6,'Referenčne količine'!$B$4:$B$9,0))</f>
        <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f ca="1">INDEX('Referenčne količine'!$AK$4:$AK$9,MATCH('OB005'!$B$6,'Referenčne količine'!$B$4:$B$9,0))</f>
        <v>98597.666666666672</v>
      </c>
      <c r="C14" s="11">
        <f ca="1">INDEX('Referenčne količine'!$AS$4:$AS$9,MATCH('OB005'!$B$6,'Referenčne količine'!$B$4:$B$9,0))</f>
        <v>98597.666666666672</v>
      </c>
      <c r="E14" s="12"/>
      <c r="F14" s="215"/>
    </row>
    <row r="15" spans="1:7" x14ac:dyDescent="0.2">
      <c r="A15" s="13" t="s">
        <v>148</v>
      </c>
      <c r="B15" s="14">
        <f ca="1">INDEX('Referenčne količine'!$AM$4:$AM$9,MATCH('OB005'!$B$6,'Referenčne količine'!$B$4:$B$9,0))</f>
        <v>69069</v>
      </c>
      <c r="C15" s="14">
        <f ca="1">INDEX('Referenčne količine'!$AT$4:$AT$9,MATCH('OB005'!$B$6,'Referenčne količine'!$B$4:$B$9,0))</f>
        <v>69069</v>
      </c>
      <c r="E15" s="12"/>
      <c r="F15" s="215"/>
    </row>
    <row r="16" spans="1:7" x14ac:dyDescent="0.2">
      <c r="A16" s="15" t="s">
        <v>149</v>
      </c>
      <c r="B16" s="16">
        <f ca="1">INDEX('Referenčne količine'!$AO$4:$AO$9,MATCH('OB005'!$B$6,'Referenčne količine'!$B$4:$B$9,0))</f>
        <v>69069</v>
      </c>
      <c r="C16" s="16">
        <f ca="1">INDEX('Referenčne količine'!$AW$4:$AW$9,MATCH('OB005'!$B$6,'Referenčne količine'!$B$4:$B$9,0))</f>
        <v>69069</v>
      </c>
      <c r="E16" s="5"/>
      <c r="F16" s="214"/>
    </row>
    <row r="17" spans="1:6" x14ac:dyDescent="0.2">
      <c r="A17" s="17" t="s">
        <v>316</v>
      </c>
      <c r="B17" s="16">
        <f ca="1">INDEX('Referenčne količine'!$AP$4:$AP$9,MATCH('OB005'!$B$6,'Referenčne količine'!$B$4:$B$9,0))</f>
        <v>0</v>
      </c>
      <c r="C17" s="16">
        <f ca="1">INDEX('Referenčne količine'!$AX$4:$AX$9,MATCH('OB005'!$B$6,'Referenčne količine'!$B$4:$B$9,0))</f>
        <v>0</v>
      </c>
      <c r="E17" s="5"/>
      <c r="F17" s="214"/>
    </row>
    <row r="18" spans="1:6" x14ac:dyDescent="0.2">
      <c r="A18" s="15" t="s">
        <v>315</v>
      </c>
      <c r="B18" s="16">
        <f ca="1">INDEX('Referenčne količine'!$AQ$4:$AQ$9,MATCH('OB005'!$B$6,'Referenčne količine'!$B$4:$B$9,0))</f>
        <v>0</v>
      </c>
      <c r="C18" s="16">
        <f ca="1">INDEX('Referenčne količine'!$AY$4:$AY$9,MATCH('OB005'!$B$6,'Referenčne količine'!$B$4:$B$9,0))</f>
        <v>0</v>
      </c>
      <c r="E18" s="12"/>
      <c r="F18" s="215"/>
    </row>
    <row r="19" spans="1:6" x14ac:dyDescent="0.2">
      <c r="A19" s="15" t="s">
        <v>150</v>
      </c>
      <c r="B19" s="18">
        <f ca="1">INDEX('Referenčne količine'!$AL$4:$AL$9,MATCH('OB005'!$B$6,'Referenčne količine'!$B$4:$B$9,0))</f>
        <v>5153.01</v>
      </c>
      <c r="C19" s="18">
        <f ca="1">INDEX('Referenčne količine'!$AV$4:$AV$9,MATCH('OB005'!$B$6,'Referenčne količine'!$B$4:$B$9,0))</f>
        <v>5153.01</v>
      </c>
      <c r="E19" s="12"/>
      <c r="F19" s="215"/>
    </row>
    <row r="20" spans="1:6" ht="13.5" thickBot="1" x14ac:dyDescent="0.25">
      <c r="A20" s="19" t="s">
        <v>151</v>
      </c>
      <c r="B20" s="20">
        <f ca="1">INDEX('Referenčne količine'!$AN$4:$AN$9,MATCH('OB005'!$B$6,'Referenčne količine'!$B$4:$B$9,0))</f>
        <v>7.4606697650175913E-2</v>
      </c>
      <c r="C20" s="20">
        <f ca="1">INDEX('Referenčne količine'!$AN$4:$AN$9,MATCH('OB005'!$B$6,'Referenčne količine'!$B$4:$B$9,0))</f>
        <v>7.4606697650175913E-2</v>
      </c>
      <c r="E20" s="12"/>
      <c r="F20" s="215"/>
    </row>
    <row r="21" spans="1:6" x14ac:dyDescent="0.2">
      <c r="A21" s="9" t="s">
        <v>152</v>
      </c>
      <c r="B21" s="10">
        <f ca="1">INDEX('Referenčne količine'!$AZ$4:$AZ$9,MATCH('OB005'!$B$6,'Referenčne količine'!$B$4:$B$9,0))</f>
        <v>60218</v>
      </c>
      <c r="C21" s="10">
        <f ca="1">INDEX('Referenčne količine'!$BF$4:$BF$9,MATCH('OB005'!$B$6,'Referenčne količine'!$B$4:$B$9,0))</f>
        <v>60218</v>
      </c>
      <c r="E21" s="12"/>
      <c r="F21" s="215"/>
    </row>
    <row r="22" spans="1:6" x14ac:dyDescent="0.2">
      <c r="A22" s="21" t="s">
        <v>153</v>
      </c>
      <c r="B22" s="14">
        <f ca="1">INDEX('Referenčne količine'!$BC$4:$BC$9,MATCH('OB005'!$B$6,'Referenčne količine'!$B$4:$B$9,0))</f>
        <v>15404.654240000002</v>
      </c>
      <c r="C22" s="14">
        <f ca="1">INDEX('Referenčne količine'!$BH$4:$BH$9,MATCH('OB005'!$B$6,'Referenčne količine'!$B$4:$B$9,0))</f>
        <v>15404.654240000002</v>
      </c>
      <c r="E22" s="12"/>
      <c r="F22" s="215"/>
    </row>
    <row r="23" spans="1:6" x14ac:dyDescent="0.2">
      <c r="A23" s="21" t="s">
        <v>154</v>
      </c>
      <c r="B23" s="14">
        <f ca="1">INDEX('Referenčne količine'!$BD$4:$BD$9,MATCH('OB005'!$B$6,'Referenčne količine'!$B$4:$B$9,0))</f>
        <v>44813.345759999997</v>
      </c>
      <c r="C23" s="14">
        <f ca="1">INDEX('Referenčne količine'!$BI$4:$BI$9,MATCH('OB005'!$B$6,'Referenčne količine'!$B$4:$B$9,0))</f>
        <v>44813.345759999997</v>
      </c>
      <c r="E23" s="12"/>
      <c r="F23" s="215"/>
    </row>
    <row r="24" spans="1:6" x14ac:dyDescent="0.2">
      <c r="A24" s="22" t="s">
        <v>155</v>
      </c>
      <c r="B24" s="23">
        <f ca="1">INDEX('Referenčne količine'!$BA$4:$BA$9,MATCH('OB005'!$B$6,'Referenčne količine'!$B$4:$B$9,0))</f>
        <v>6861.6356343207399</v>
      </c>
      <c r="C24" s="24">
        <f ca="1">INDEX('Referenčne količine'!$BG$4:$BG$9,MATCH('OB005'!$B$6,'Referenčne količine'!$B$4:$B$9,0))</f>
        <v>6861.6356343207399</v>
      </c>
      <c r="D24" s="25"/>
      <c r="E24" s="12"/>
      <c r="F24" s="215"/>
    </row>
    <row r="25" spans="1:6" ht="13.5" thickBot="1" x14ac:dyDescent="0.25">
      <c r="A25" s="26" t="s">
        <v>156</v>
      </c>
      <c r="B25" s="62">
        <f ca="1">INDEX('Referenčne količine'!$BB$4:$BB$9,MATCH('OB005'!$B$6,'Referenčne količine'!$B$4:$B$9,0))</f>
        <v>0.11394658796905809</v>
      </c>
      <c r="C25" s="62">
        <f ca="1">INDEX('Referenčne količine'!$BB$4:$BB$9,MATCH('OB005'!$B$6,'Referenčne količine'!$B$4:$B$9,0))</f>
        <v>0.11394658796905809</v>
      </c>
      <c r="E25" s="12"/>
      <c r="F25" s="215"/>
    </row>
    <row r="26" spans="1:6" ht="14.45" customHeight="1" thickBot="1" x14ac:dyDescent="0.25">
      <c r="A26" s="27" t="s">
        <v>157</v>
      </c>
      <c r="B26" s="28">
        <f ca="1">INDEX('Referenčne količine'!$BK$4:$BK$9,MATCH('OB005'!$B$6,'Referenčne količine'!$B$4:$B$9,0))</f>
        <v>2207</v>
      </c>
      <c r="C26" s="29"/>
      <c r="E26" s="12"/>
      <c r="F26" s="215"/>
    </row>
    <row r="27" spans="1:6" ht="13.5" thickBot="1" x14ac:dyDescent="0.25">
      <c r="F27" s="229">
        <f ca="1">VALUE(RIGHT(CELL("filename",A1),2))</f>
        <v>5</v>
      </c>
    </row>
    <row r="28" spans="1:6" ht="25.5" x14ac:dyDescent="0.2">
      <c r="A28" s="219" t="s">
        <v>158</v>
      </c>
      <c r="B28" s="221" t="s">
        <v>299</v>
      </c>
      <c r="C28" s="222" t="s">
        <v>300</v>
      </c>
      <c r="D28" s="221" t="s">
        <v>302</v>
      </c>
      <c r="E28" s="221" t="s">
        <v>301</v>
      </c>
      <c r="F28" s="230"/>
    </row>
    <row r="29" spans="1:6" x14ac:dyDescent="0.2">
      <c r="A29" s="218" t="s">
        <v>492</v>
      </c>
      <c r="B29" s="226"/>
      <c r="C29" s="226"/>
      <c r="D29" s="226"/>
      <c r="E29" s="226"/>
      <c r="F29" s="231">
        <v>1</v>
      </c>
    </row>
    <row r="30" spans="1:6" ht="13.15" customHeight="1" x14ac:dyDescent="0.2">
      <c r="A30" s="218" t="s">
        <v>498</v>
      </c>
      <c r="B30" s="226"/>
      <c r="C30" s="226"/>
      <c r="D30" s="226"/>
      <c r="E30" s="226"/>
      <c r="F30" s="231">
        <f t="shared" ref="F30:F53" si="0">F29+1</f>
        <v>2</v>
      </c>
    </row>
    <row r="31" spans="1:6" x14ac:dyDescent="0.2">
      <c r="A31" s="218" t="s">
        <v>499</v>
      </c>
      <c r="B31" s="226"/>
      <c r="C31" s="226"/>
      <c r="D31" s="226"/>
      <c r="E31" s="226"/>
      <c r="F31" s="231">
        <f t="shared" si="0"/>
        <v>3</v>
      </c>
    </row>
    <row r="32" spans="1:6" x14ac:dyDescent="0.2">
      <c r="A32" s="218" t="s">
        <v>500</v>
      </c>
      <c r="B32" s="226"/>
      <c r="C32" s="226"/>
      <c r="D32" s="226"/>
      <c r="E32" s="226"/>
      <c r="F32" s="231">
        <f t="shared" si="0"/>
        <v>4</v>
      </c>
    </row>
    <row r="33" spans="1:6" x14ac:dyDescent="0.2">
      <c r="A33" s="218" t="s">
        <v>501</v>
      </c>
      <c r="B33" s="226"/>
      <c r="C33" s="226"/>
      <c r="D33" s="226"/>
      <c r="E33" s="226"/>
      <c r="F33" s="231">
        <f t="shared" si="0"/>
        <v>5</v>
      </c>
    </row>
    <row r="34" spans="1:6" s="30" customFormat="1" x14ac:dyDescent="0.2">
      <c r="A34" s="218" t="s">
        <v>491</v>
      </c>
      <c r="B34" s="226"/>
      <c r="C34" s="226"/>
      <c r="D34" s="226"/>
      <c r="E34" s="226"/>
      <c r="F34" s="231">
        <f t="shared" si="0"/>
        <v>6</v>
      </c>
    </row>
    <row r="35" spans="1:6" x14ac:dyDescent="0.2">
      <c r="A35" s="218" t="s">
        <v>491</v>
      </c>
      <c r="B35" s="226"/>
      <c r="C35" s="226"/>
      <c r="D35" s="226"/>
      <c r="E35" s="226"/>
      <c r="F35" s="231">
        <f t="shared" si="0"/>
        <v>7</v>
      </c>
    </row>
    <row r="36" spans="1:6" x14ac:dyDescent="0.2">
      <c r="A36" s="218" t="s">
        <v>491</v>
      </c>
      <c r="B36" s="226"/>
      <c r="C36" s="226"/>
      <c r="D36" s="226"/>
      <c r="E36" s="226"/>
      <c r="F36" s="231">
        <f t="shared" si="0"/>
        <v>8</v>
      </c>
    </row>
    <row r="37" spans="1:6" s="30" customFormat="1" x14ac:dyDescent="0.2">
      <c r="A37" s="218" t="s">
        <v>491</v>
      </c>
      <c r="B37" s="226"/>
      <c r="C37" s="226"/>
      <c r="D37" s="226"/>
      <c r="E37" s="226"/>
      <c r="F37" s="231">
        <f t="shared" si="0"/>
        <v>9</v>
      </c>
    </row>
    <row r="38" spans="1:6" x14ac:dyDescent="0.2">
      <c r="A38" s="218" t="s">
        <v>491</v>
      </c>
      <c r="B38" s="226"/>
      <c r="C38" s="226"/>
      <c r="D38" s="226"/>
      <c r="E38" s="226"/>
      <c r="F38" s="231">
        <f t="shared" si="0"/>
        <v>10</v>
      </c>
    </row>
    <row r="39" spans="1:6" x14ac:dyDescent="0.2">
      <c r="A39" s="218" t="s">
        <v>493</v>
      </c>
      <c r="B39" s="226"/>
      <c r="C39" s="226"/>
      <c r="D39" s="226"/>
      <c r="E39" s="226"/>
      <c r="F39" s="231">
        <f t="shared" si="0"/>
        <v>11</v>
      </c>
    </row>
    <row r="40" spans="1:6" ht="13.15" customHeight="1" x14ac:dyDescent="0.2">
      <c r="A40" s="218" t="s">
        <v>491</v>
      </c>
      <c r="B40" s="226"/>
      <c r="C40" s="226"/>
      <c r="D40" s="226"/>
      <c r="E40" s="226"/>
      <c r="F40" s="231">
        <f t="shared" si="0"/>
        <v>12</v>
      </c>
    </row>
    <row r="41" spans="1:6" x14ac:dyDescent="0.2">
      <c r="A41" s="218" t="s">
        <v>494</v>
      </c>
      <c r="B41" s="226"/>
      <c r="C41" s="226"/>
      <c r="D41" s="226"/>
      <c r="E41" s="226"/>
      <c r="F41" s="231">
        <f t="shared" si="0"/>
        <v>13</v>
      </c>
    </row>
    <row r="42" spans="1:6" ht="24" x14ac:dyDescent="0.2">
      <c r="A42" s="218" t="s">
        <v>495</v>
      </c>
      <c r="B42" s="226"/>
      <c r="C42" s="226"/>
      <c r="D42" s="226"/>
      <c r="E42" s="226"/>
      <c r="F42" s="231">
        <f t="shared" si="0"/>
        <v>14</v>
      </c>
    </row>
    <row r="43" spans="1:6" x14ac:dyDescent="0.2">
      <c r="A43" s="218" t="s">
        <v>491</v>
      </c>
      <c r="B43" s="226"/>
      <c r="C43" s="226"/>
      <c r="D43" s="226"/>
      <c r="E43" s="226"/>
      <c r="F43" s="231">
        <f t="shared" si="0"/>
        <v>15</v>
      </c>
    </row>
    <row r="44" spans="1:6" x14ac:dyDescent="0.2">
      <c r="A44" s="218" t="s">
        <v>491</v>
      </c>
      <c r="B44" s="226"/>
      <c r="C44" s="226"/>
      <c r="D44" s="226"/>
      <c r="E44" s="226"/>
      <c r="F44" s="231">
        <f t="shared" si="0"/>
        <v>16</v>
      </c>
    </row>
    <row r="45" spans="1:6" ht="15" customHeight="1" x14ac:dyDescent="0.2">
      <c r="A45" s="218" t="s">
        <v>491</v>
      </c>
      <c r="B45" s="226"/>
      <c r="C45" s="226"/>
      <c r="D45" s="226"/>
      <c r="E45" s="226"/>
      <c r="F45" s="231">
        <f t="shared" si="0"/>
        <v>17</v>
      </c>
    </row>
    <row r="46" spans="1:6" x14ac:dyDescent="0.2">
      <c r="A46" s="218" t="s">
        <v>491</v>
      </c>
      <c r="B46" s="226"/>
      <c r="C46" s="226"/>
      <c r="D46" s="226"/>
      <c r="E46" s="226"/>
      <c r="F46" s="231">
        <f t="shared" si="0"/>
        <v>18</v>
      </c>
    </row>
    <row r="47" spans="1:6" x14ac:dyDescent="0.2">
      <c r="A47" s="218" t="s">
        <v>491</v>
      </c>
      <c r="B47" s="226"/>
      <c r="C47" s="226"/>
      <c r="D47" s="226"/>
      <c r="E47" s="226"/>
      <c r="F47" s="231">
        <f t="shared" si="0"/>
        <v>19</v>
      </c>
    </row>
    <row r="48" spans="1:6" x14ac:dyDescent="0.2">
      <c r="A48" s="218" t="s">
        <v>496</v>
      </c>
      <c r="B48" s="226"/>
      <c r="C48" s="226"/>
      <c r="D48" s="226"/>
      <c r="E48" s="226"/>
      <c r="F48" s="231">
        <f t="shared" si="0"/>
        <v>20</v>
      </c>
    </row>
    <row r="49" spans="1:17" x14ac:dyDescent="0.2">
      <c r="A49" s="218"/>
      <c r="B49" s="226"/>
      <c r="C49" s="226"/>
      <c r="D49" s="226"/>
      <c r="E49" s="226"/>
      <c r="F49" s="231">
        <f t="shared" si="0"/>
        <v>21</v>
      </c>
    </row>
    <row r="50" spans="1:17" x14ac:dyDescent="0.2">
      <c r="A50" s="218"/>
      <c r="B50" s="226"/>
      <c r="C50" s="226"/>
      <c r="D50" s="226"/>
      <c r="E50" s="226"/>
      <c r="F50" s="231">
        <f t="shared" si="0"/>
        <v>22</v>
      </c>
    </row>
    <row r="51" spans="1:17" x14ac:dyDescent="0.2">
      <c r="A51" s="218"/>
      <c r="B51" s="226"/>
      <c r="C51" s="226"/>
      <c r="D51" s="226"/>
      <c r="E51" s="226"/>
      <c r="F51" s="231">
        <f t="shared" si="0"/>
        <v>23</v>
      </c>
    </row>
    <row r="52" spans="1:17" x14ac:dyDescent="0.2">
      <c r="A52" s="218"/>
      <c r="B52" s="226"/>
      <c r="C52" s="226"/>
      <c r="D52" s="226"/>
      <c r="E52" s="226"/>
      <c r="F52" s="231">
        <f t="shared" si="0"/>
        <v>24</v>
      </c>
    </row>
    <row r="53" spans="1:17" ht="13.5" thickBot="1" x14ac:dyDescent="0.25">
      <c r="A53" s="218"/>
      <c r="B53" s="226"/>
      <c r="C53" s="226"/>
      <c r="D53" s="226"/>
      <c r="E53" s="226"/>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c r="D60" s="5"/>
      <c r="E60" s="31"/>
      <c r="F60" s="216"/>
      <c r="G60" s="31"/>
      <c r="H60" s="31"/>
      <c r="I60" s="31"/>
      <c r="J60" s="31"/>
      <c r="K60" s="31"/>
      <c r="L60" s="31"/>
      <c r="M60" s="31"/>
      <c r="N60" s="31"/>
      <c r="O60" s="31"/>
      <c r="P60" s="31"/>
      <c r="Q60" s="31"/>
    </row>
    <row r="61" spans="1:17" x14ac:dyDescent="0.2">
      <c r="A61" s="689" t="s">
        <v>160</v>
      </c>
      <c r="B61" s="690"/>
      <c r="C61" s="34"/>
      <c r="E61" s="31"/>
      <c r="F61" s="217"/>
      <c r="G61" s="31"/>
      <c r="H61" s="31"/>
      <c r="I61" s="31"/>
      <c r="J61" s="31"/>
      <c r="K61" s="31"/>
      <c r="L61" s="31"/>
      <c r="M61" s="31"/>
      <c r="N61" s="31"/>
      <c r="O61" s="31"/>
      <c r="P61" s="31"/>
      <c r="Q61" s="31"/>
    </row>
    <row r="62" spans="1:17" x14ac:dyDescent="0.2">
      <c r="A62" s="15" t="s">
        <v>149</v>
      </c>
      <c r="B62" s="613"/>
      <c r="C62" s="38"/>
      <c r="E62" s="31"/>
      <c r="F62" s="217"/>
      <c r="G62" s="31"/>
      <c r="H62" s="31"/>
      <c r="I62" s="31"/>
      <c r="J62" s="31"/>
      <c r="K62" s="31"/>
      <c r="L62" s="31"/>
      <c r="M62" s="31"/>
      <c r="N62" s="31"/>
      <c r="O62" s="31"/>
      <c r="P62" s="31"/>
      <c r="Q62" s="31"/>
    </row>
    <row r="63" spans="1:17" x14ac:dyDescent="0.2">
      <c r="A63" s="17" t="s">
        <v>316</v>
      </c>
      <c r="B63" s="613"/>
      <c r="C63" s="38"/>
      <c r="E63" s="31"/>
      <c r="F63" s="217"/>
      <c r="G63" s="31"/>
      <c r="H63" s="31"/>
      <c r="I63" s="31"/>
      <c r="J63" s="31"/>
      <c r="K63" s="31"/>
      <c r="L63" s="31"/>
      <c r="M63" s="31"/>
      <c r="N63" s="31"/>
      <c r="O63" s="31"/>
      <c r="P63" s="31"/>
      <c r="Q63" s="31"/>
    </row>
    <row r="64" spans="1:17" x14ac:dyDescent="0.2">
      <c r="A64" s="15" t="s">
        <v>315</v>
      </c>
      <c r="B64" s="613"/>
      <c r="C64" s="38"/>
      <c r="E64" s="31"/>
      <c r="F64" s="217"/>
      <c r="G64" s="31"/>
      <c r="H64" s="31"/>
      <c r="I64" s="31"/>
      <c r="J64" s="31"/>
      <c r="K64" s="31"/>
      <c r="L64" s="31"/>
      <c r="M64" s="31"/>
      <c r="N64" s="31"/>
      <c r="O64" s="31"/>
      <c r="P64" s="31"/>
      <c r="Q64" s="31"/>
    </row>
    <row r="65" spans="1:17" x14ac:dyDescent="0.2">
      <c r="A65" s="693" t="s">
        <v>308</v>
      </c>
      <c r="B65" s="694"/>
      <c r="C65" s="35"/>
      <c r="E65" s="31"/>
      <c r="F65" s="217"/>
      <c r="G65" s="31"/>
      <c r="H65" s="31"/>
      <c r="I65" s="31"/>
      <c r="J65" s="31"/>
      <c r="K65" s="31"/>
      <c r="L65" s="31"/>
      <c r="M65" s="31"/>
      <c r="N65" s="31"/>
      <c r="O65" s="31"/>
      <c r="P65" s="31"/>
      <c r="Q65" s="31"/>
    </row>
    <row r="66" spans="1:17" x14ac:dyDescent="0.2">
      <c r="A66" s="612" t="s">
        <v>306</v>
      </c>
      <c r="B66" s="613"/>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612" t="s">
        <v>164</v>
      </c>
      <c r="B70" s="613"/>
      <c r="C70" s="40">
        <f ca="1">(C67+C68)*C20+C61*(C20-C65)</f>
        <v>0</v>
      </c>
      <c r="E70" s="31"/>
      <c r="F70" s="217"/>
      <c r="G70" s="31"/>
      <c r="H70" s="31"/>
      <c r="I70" s="31"/>
      <c r="J70" s="31"/>
      <c r="K70" s="31"/>
      <c r="L70" s="31"/>
      <c r="M70" s="31"/>
      <c r="N70" s="31"/>
      <c r="O70" s="31"/>
      <c r="P70" s="31"/>
      <c r="Q70" s="31"/>
    </row>
    <row r="71" spans="1:17" x14ac:dyDescent="0.2">
      <c r="A71" s="612" t="s">
        <v>165</v>
      </c>
      <c r="B71" s="613"/>
      <c r="C71" s="41">
        <f ca="1">(C67+C68)/C15</f>
        <v>0</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c r="E73" s="46"/>
    </row>
    <row r="74" spans="1:17" x14ac:dyDescent="0.2">
      <c r="A74" s="695" t="s">
        <v>153</v>
      </c>
      <c r="B74" s="696"/>
      <c r="C74" s="38"/>
      <c r="E74" s="46"/>
    </row>
    <row r="75" spans="1:17" x14ac:dyDescent="0.2">
      <c r="A75" s="695" t="s">
        <v>154</v>
      </c>
      <c r="B75" s="696"/>
      <c r="C75" s="38"/>
      <c r="E75" s="46"/>
    </row>
    <row r="76" spans="1:17" x14ac:dyDescent="0.2">
      <c r="A76" s="689" t="s">
        <v>166</v>
      </c>
      <c r="B76" s="690"/>
      <c r="C76" s="35"/>
    </row>
    <row r="77" spans="1:17" x14ac:dyDescent="0.2">
      <c r="A77" s="689" t="s">
        <v>167</v>
      </c>
      <c r="B77" s="690"/>
      <c r="C77" s="36">
        <f>ROUND(IF(C73=0,0,C21-C73),0)</f>
        <v>0</v>
      </c>
      <c r="D77" s="46"/>
    </row>
    <row r="78" spans="1:17" x14ac:dyDescent="0.2">
      <c r="A78" s="689" t="s">
        <v>168</v>
      </c>
      <c r="B78" s="690"/>
      <c r="C78" s="47"/>
    </row>
    <row r="79" spans="1:17" x14ac:dyDescent="0.2">
      <c r="A79" s="689" t="s">
        <v>169</v>
      </c>
      <c r="B79" s="690"/>
      <c r="C79" s="39">
        <f>C73*C76</f>
        <v>0</v>
      </c>
    </row>
    <row r="80" spans="1:17" x14ac:dyDescent="0.2">
      <c r="A80" s="610" t="s">
        <v>170</v>
      </c>
      <c r="B80" s="611"/>
      <c r="C80" s="40">
        <f ca="1">(C77+C78)*C25+C73*(C25-C76)</f>
        <v>0</v>
      </c>
    </row>
    <row r="81" spans="1:3" x14ac:dyDescent="0.2">
      <c r="A81" s="689" t="s">
        <v>171</v>
      </c>
      <c r="B81" s="690"/>
      <c r="C81" s="41">
        <f ca="1">(C77+C78)/C21</f>
        <v>0</v>
      </c>
    </row>
    <row r="82" spans="1:3" x14ac:dyDescent="0.2">
      <c r="A82" s="42"/>
      <c r="B82" s="43"/>
      <c r="C82" s="44"/>
    </row>
    <row r="83" spans="1:3" x14ac:dyDescent="0.2">
      <c r="A83" s="689" t="s">
        <v>172</v>
      </c>
      <c r="B83" s="690"/>
      <c r="C83" s="48"/>
    </row>
    <row r="84" spans="1:3" ht="15" x14ac:dyDescent="0.3">
      <c r="A84" s="689" t="s">
        <v>173</v>
      </c>
      <c r="B84" s="690"/>
      <c r="C84" s="232">
        <f ca="1">B26-C83</f>
        <v>2207</v>
      </c>
    </row>
    <row r="85" spans="1:3" ht="13.5" thickBot="1" x14ac:dyDescent="0.25">
      <c r="A85" s="193" t="s">
        <v>174</v>
      </c>
      <c r="B85" s="194"/>
      <c r="C85" s="233">
        <f ca="1">IF(B26&gt;0,C84/B26,0)</f>
        <v>1</v>
      </c>
    </row>
    <row r="86" spans="1:3" ht="13.5" thickBot="1" x14ac:dyDescent="0.25">
      <c r="C86" s="30"/>
    </row>
    <row r="87" spans="1:3" ht="13.5" thickBot="1" x14ac:dyDescent="0.25">
      <c r="A87" s="697" t="s">
        <v>175</v>
      </c>
      <c r="B87" s="698"/>
      <c r="C87" s="49">
        <f ca="1">C70+C80+C84</f>
        <v>2207</v>
      </c>
    </row>
    <row r="88" spans="1:3" ht="13.5" thickBot="1" x14ac:dyDescent="0.25">
      <c r="A88" s="699" t="s">
        <v>9</v>
      </c>
      <c r="B88" s="700"/>
      <c r="C88" s="50">
        <f ca="1">C107</f>
        <v>24538.281062795031</v>
      </c>
    </row>
    <row r="90" spans="1:3" x14ac:dyDescent="0.2">
      <c r="A90" s="701" t="s">
        <v>8</v>
      </c>
      <c r="B90" s="701"/>
      <c r="C90" s="701"/>
    </row>
    <row r="91" spans="1:3" x14ac:dyDescent="0.2">
      <c r="A91" s="609" t="s">
        <v>7</v>
      </c>
      <c r="B91" s="609" t="s">
        <v>6</v>
      </c>
      <c r="C91" s="609" t="s">
        <v>5</v>
      </c>
    </row>
    <row r="92" spans="1:3" x14ac:dyDescent="0.2">
      <c r="A92" s="51">
        <v>1</v>
      </c>
      <c r="B92" s="52">
        <f ca="1">$C$87</f>
        <v>2207</v>
      </c>
      <c r="C92" s="53">
        <f t="shared" ref="C92:C106" ca="1" si="1">B92/(1+$B$109)^A92</f>
        <v>2122.1153846153848</v>
      </c>
    </row>
    <row r="93" spans="1:3" x14ac:dyDescent="0.2">
      <c r="A93" s="51">
        <v>2</v>
      </c>
      <c r="B93" s="52">
        <f t="shared" ref="B93:B106" ca="1" si="2">$C$87</f>
        <v>2207</v>
      </c>
      <c r="C93" s="53">
        <f t="shared" ca="1" si="1"/>
        <v>2040.4955621301774</v>
      </c>
    </row>
    <row r="94" spans="1:3" x14ac:dyDescent="0.2">
      <c r="A94" s="51">
        <v>3</v>
      </c>
      <c r="B94" s="52">
        <f t="shared" ca="1" si="2"/>
        <v>2207</v>
      </c>
      <c r="C94" s="53">
        <f t="shared" ca="1" si="1"/>
        <v>1962.014963586709</v>
      </c>
    </row>
    <row r="95" spans="1:3" x14ac:dyDescent="0.2">
      <c r="A95" s="51">
        <v>4</v>
      </c>
      <c r="B95" s="52">
        <f t="shared" ca="1" si="2"/>
        <v>2207</v>
      </c>
      <c r="C95" s="53">
        <f t="shared" ca="1" si="1"/>
        <v>1886.5528496026045</v>
      </c>
    </row>
    <row r="96" spans="1:3" x14ac:dyDescent="0.2">
      <c r="A96" s="51">
        <v>5</v>
      </c>
      <c r="B96" s="52">
        <f t="shared" ca="1" si="2"/>
        <v>2207</v>
      </c>
      <c r="C96" s="53">
        <f t="shared" ca="1" si="1"/>
        <v>1813.993124617889</v>
      </c>
    </row>
    <row r="97" spans="1:17" x14ac:dyDescent="0.2">
      <c r="A97" s="51">
        <v>6</v>
      </c>
      <c r="B97" s="52">
        <f t="shared" ca="1" si="2"/>
        <v>2207</v>
      </c>
      <c r="C97" s="53">
        <f t="shared" ca="1" si="1"/>
        <v>1744.2241582864315</v>
      </c>
    </row>
    <row r="98" spans="1:17" x14ac:dyDescent="0.2">
      <c r="A98" s="51">
        <v>7</v>
      </c>
      <c r="B98" s="52">
        <f t="shared" ca="1" si="2"/>
        <v>2207</v>
      </c>
      <c r="C98" s="53">
        <f t="shared" ca="1" si="1"/>
        <v>1677.1386137369536</v>
      </c>
    </row>
    <row r="99" spans="1:17" x14ac:dyDescent="0.2">
      <c r="A99" s="51">
        <v>8</v>
      </c>
      <c r="B99" s="52">
        <f t="shared" ca="1" si="2"/>
        <v>2207</v>
      </c>
      <c r="C99" s="53">
        <f t="shared" ca="1" si="1"/>
        <v>1612.6332824393783</v>
      </c>
    </row>
    <row r="100" spans="1:17" x14ac:dyDescent="0.2">
      <c r="A100" s="51">
        <v>9</v>
      </c>
      <c r="B100" s="52">
        <f t="shared" ca="1" si="2"/>
        <v>2207</v>
      </c>
      <c r="C100" s="53">
        <f t="shared" ca="1" si="1"/>
        <v>1550.6089254224789</v>
      </c>
    </row>
    <row r="101" spans="1:17" x14ac:dyDescent="0.2">
      <c r="A101" s="51">
        <v>10</v>
      </c>
      <c r="B101" s="52">
        <f t="shared" ca="1" si="2"/>
        <v>2207</v>
      </c>
      <c r="C101" s="53">
        <f t="shared" ca="1" si="1"/>
        <v>1490.9701205985375</v>
      </c>
    </row>
    <row r="102" spans="1:17" s="30" customFormat="1" x14ac:dyDescent="0.2">
      <c r="A102" s="51">
        <v>11</v>
      </c>
      <c r="B102" s="52">
        <f t="shared" ca="1" si="2"/>
        <v>2207</v>
      </c>
      <c r="C102" s="53">
        <f t="shared" ca="1" si="1"/>
        <v>1433.6251159601322</v>
      </c>
      <c r="D102" s="1"/>
      <c r="E102" s="1"/>
      <c r="G102" s="1"/>
      <c r="H102" s="1"/>
      <c r="I102" s="1"/>
      <c r="J102" s="1"/>
      <c r="K102" s="1"/>
      <c r="L102" s="1"/>
      <c r="M102" s="1"/>
      <c r="N102" s="1"/>
      <c r="O102" s="1"/>
      <c r="P102" s="1"/>
      <c r="Q102" s="1"/>
    </row>
    <row r="103" spans="1:17" s="30" customFormat="1" x14ac:dyDescent="0.2">
      <c r="A103" s="51">
        <v>12</v>
      </c>
      <c r="B103" s="52">
        <f t="shared" ca="1" si="2"/>
        <v>2207</v>
      </c>
      <c r="C103" s="53">
        <f t="shared" ca="1" si="1"/>
        <v>1378.4856884232038</v>
      </c>
      <c r="D103" s="1"/>
      <c r="E103" s="1"/>
      <c r="G103" s="1"/>
      <c r="H103" s="1"/>
      <c r="I103" s="1"/>
      <c r="J103" s="1"/>
      <c r="K103" s="1"/>
      <c r="L103" s="1"/>
      <c r="M103" s="1"/>
      <c r="N103" s="1"/>
      <c r="O103" s="1"/>
      <c r="P103" s="1"/>
      <c r="Q103" s="1"/>
    </row>
    <row r="104" spans="1:17" s="30" customFormat="1" x14ac:dyDescent="0.2">
      <c r="A104" s="51">
        <v>13</v>
      </c>
      <c r="B104" s="52">
        <f t="shared" ca="1" si="2"/>
        <v>2207</v>
      </c>
      <c r="C104" s="53">
        <f t="shared" ca="1" si="1"/>
        <v>1325.4670080992344</v>
      </c>
      <c r="D104" s="1"/>
      <c r="E104" s="1"/>
      <c r="G104" s="1"/>
      <c r="H104" s="1"/>
      <c r="I104" s="1"/>
      <c r="J104" s="1"/>
      <c r="K104" s="1"/>
      <c r="L104" s="1"/>
      <c r="M104" s="1"/>
      <c r="N104" s="1"/>
      <c r="O104" s="1"/>
      <c r="P104" s="1"/>
      <c r="Q104" s="1"/>
    </row>
    <row r="105" spans="1:17" s="30" customFormat="1" x14ac:dyDescent="0.2">
      <c r="A105" s="51">
        <v>14</v>
      </c>
      <c r="B105" s="52">
        <f t="shared" ca="1" si="2"/>
        <v>2207</v>
      </c>
      <c r="C105" s="53">
        <f t="shared" ca="1" si="1"/>
        <v>1274.4875077877255</v>
      </c>
      <c r="D105" s="1"/>
      <c r="E105" s="1"/>
      <c r="G105" s="1"/>
      <c r="H105" s="1"/>
      <c r="I105" s="1"/>
      <c r="J105" s="1"/>
      <c r="K105" s="1"/>
      <c r="L105" s="1"/>
      <c r="M105" s="1"/>
      <c r="N105" s="1"/>
      <c r="O105" s="1"/>
      <c r="P105" s="1"/>
      <c r="Q105" s="1"/>
    </row>
    <row r="106" spans="1:17" s="30" customFormat="1" x14ac:dyDescent="0.2">
      <c r="A106" s="51">
        <v>15</v>
      </c>
      <c r="B106" s="52">
        <f t="shared" ca="1" si="2"/>
        <v>2207</v>
      </c>
      <c r="C106" s="53">
        <f t="shared" ca="1" si="1"/>
        <v>1225.4687574881975</v>
      </c>
      <c r="D106" s="1"/>
      <c r="E106" s="1"/>
      <c r="G106" s="1"/>
      <c r="H106" s="1"/>
      <c r="I106" s="1"/>
      <c r="J106" s="1"/>
      <c r="K106" s="1"/>
      <c r="L106" s="1"/>
      <c r="M106" s="1"/>
      <c r="N106" s="1"/>
      <c r="O106" s="1"/>
      <c r="P106" s="1"/>
      <c r="Q106" s="1"/>
    </row>
    <row r="107" spans="1:17" s="30" customFormat="1" x14ac:dyDescent="0.2">
      <c r="A107" s="702" t="s">
        <v>4</v>
      </c>
      <c r="B107" s="702"/>
      <c r="C107" s="54">
        <f ca="1">SUM(C92:C106)</f>
        <v>24538.281062795031</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c r="C114" s="59">
        <f t="shared" ref="C114:C119" si="3">B114*$C$61</f>
        <v>0</v>
      </c>
      <c r="D114" s="237"/>
      <c r="E114" s="235"/>
      <c r="G114" s="1"/>
      <c r="H114" s="1"/>
      <c r="I114" s="1"/>
      <c r="J114" s="1"/>
      <c r="K114" s="1"/>
      <c r="L114" s="1"/>
      <c r="M114" s="1"/>
      <c r="N114" s="1"/>
      <c r="O114" s="1"/>
      <c r="P114" s="1"/>
      <c r="Q114" s="1"/>
    </row>
    <row r="115" spans="1:17" s="30" customFormat="1" x14ac:dyDescent="0.2">
      <c r="A115" s="241" t="s">
        <v>318</v>
      </c>
      <c r="B115" s="234"/>
      <c r="C115" s="59">
        <f t="shared" si="3"/>
        <v>0</v>
      </c>
      <c r="D115" s="237"/>
      <c r="E115" s="235"/>
      <c r="G115" s="1"/>
      <c r="H115" s="1"/>
      <c r="I115" s="1"/>
      <c r="J115" s="1"/>
      <c r="K115" s="1"/>
      <c r="L115" s="1"/>
      <c r="M115" s="1"/>
      <c r="N115" s="1"/>
      <c r="O115" s="1"/>
      <c r="P115" s="1"/>
      <c r="Q115" s="1"/>
    </row>
    <row r="116" spans="1:17" s="30" customFormat="1" x14ac:dyDescent="0.2">
      <c r="A116" s="241" t="s">
        <v>319</v>
      </c>
      <c r="B116" s="234"/>
      <c r="C116" s="59">
        <f t="shared" si="3"/>
        <v>0</v>
      </c>
      <c r="D116" s="237"/>
      <c r="E116" s="235"/>
      <c r="G116" s="1"/>
      <c r="H116" s="1"/>
      <c r="I116" s="1"/>
      <c r="J116" s="1"/>
      <c r="K116" s="1"/>
      <c r="L116" s="1"/>
      <c r="M116" s="1"/>
      <c r="N116" s="1"/>
      <c r="O116" s="1"/>
      <c r="P116" s="1"/>
      <c r="Q116" s="1"/>
    </row>
    <row r="117" spans="1:17" s="30" customFormat="1" x14ac:dyDescent="0.2">
      <c r="A117" s="241" t="s">
        <v>230</v>
      </c>
      <c r="B117" s="234"/>
      <c r="C117" s="59">
        <f t="shared" si="3"/>
        <v>0</v>
      </c>
      <c r="D117" s="237"/>
      <c r="E117" s="235"/>
      <c r="G117" s="1"/>
      <c r="H117" s="1"/>
      <c r="I117" s="1"/>
      <c r="J117" s="1"/>
      <c r="K117" s="1"/>
      <c r="L117" s="1"/>
      <c r="M117" s="1"/>
      <c r="N117" s="1"/>
      <c r="O117" s="1"/>
      <c r="P117" s="1"/>
      <c r="Q117" s="1"/>
    </row>
    <row r="118" spans="1:17" x14ac:dyDescent="0.2">
      <c r="A118" s="241" t="s">
        <v>83</v>
      </c>
      <c r="B118" s="234"/>
      <c r="C118" s="59">
        <f t="shared" si="3"/>
        <v>0</v>
      </c>
      <c r="D118" s="237"/>
      <c r="E118" s="235"/>
    </row>
    <row r="119" spans="1:17" x14ac:dyDescent="0.2">
      <c r="A119" s="241" t="s">
        <v>180</v>
      </c>
      <c r="B119" s="234"/>
      <c r="C119" s="59">
        <f t="shared" si="3"/>
        <v>0</v>
      </c>
      <c r="D119" s="237"/>
      <c r="E119" s="235"/>
    </row>
    <row r="120" spans="1:17" x14ac:dyDescent="0.2">
      <c r="A120" s="241" t="s">
        <v>231</v>
      </c>
      <c r="B120" s="234"/>
      <c r="C120" s="59">
        <f>B120*$C$61</f>
        <v>0</v>
      </c>
      <c r="D120" s="237"/>
      <c r="E120" s="235"/>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c r="C124" s="61"/>
    </row>
    <row r="125" spans="1:17" x14ac:dyDescent="0.2">
      <c r="A125" s="58" t="s">
        <v>184</v>
      </c>
      <c r="B125" s="61"/>
      <c r="C125" s="61"/>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51"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8766A-A3B9-4D5F-B957-1D1850FFF39B}">
  <sheetPr>
    <tabColor rgb="FFFF0000"/>
    <pageSetUpPr fitToPage="1"/>
  </sheetPr>
  <dimension ref="A1:Q125"/>
  <sheetViews>
    <sheetView workbookViewId="0">
      <selection activeCell="I50" sqref="I50"/>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e">
        <f ca="1">INDEX('Referenčne količine'!$C$4:$C$9,MATCH('OB007'!B6,'Referenčne količine'!$B$4:$B$9,0))</f>
        <v>#N/A</v>
      </c>
      <c r="C4" s="675"/>
    </row>
    <row r="5" spans="1:7" x14ac:dyDescent="0.2">
      <c r="A5" s="4" t="s">
        <v>16</v>
      </c>
      <c r="B5" s="676" t="e">
        <f ca="1">INDEX('Referenčne količine'!$D$4:$D$9,MATCH('OB007'!B6,'Referenčne količine'!$B$4:$B$9,0))</f>
        <v>#N/A</v>
      </c>
      <c r="C5" s="677"/>
    </row>
    <row r="6" spans="1:7" x14ac:dyDescent="0.2">
      <c r="A6" s="4" t="s">
        <v>15</v>
      </c>
      <c r="B6" s="676" t="str">
        <f ca="1">RIGHT(CELL("filename",A1),5)</f>
        <v>OB007</v>
      </c>
      <c r="C6" s="677"/>
    </row>
    <row r="7" spans="1:7" x14ac:dyDescent="0.2">
      <c r="A7" s="4" t="s">
        <v>14</v>
      </c>
      <c r="B7" s="678" t="e">
        <f ca="1">INDEX('Referenčne količine'!$G$4:$G$9,MATCH('OB007'!B6,'Referenčne količine'!$B$4:$B$9,0))</f>
        <v>#N/A</v>
      </c>
      <c r="C7" s="679"/>
      <c r="F7" s="214"/>
      <c r="G7" s="5"/>
    </row>
    <row r="8" spans="1:7" x14ac:dyDescent="0.2">
      <c r="A8" s="4" t="s">
        <v>294</v>
      </c>
      <c r="B8" s="680" t="e">
        <f ca="1">INDEX('Referenčne količine'!$P$4:$P$9,MATCH('OB007'!B6,'Referenčne količine'!$B$4:$B$9,0))</f>
        <v>#N/A</v>
      </c>
      <c r="C8" s="681"/>
      <c r="F8" s="214"/>
      <c r="G8" s="5"/>
    </row>
    <row r="9" spans="1:7" x14ac:dyDescent="0.2">
      <c r="A9" s="4" t="s">
        <v>295</v>
      </c>
      <c r="B9" s="680" t="e">
        <f ca="1">INDEX('Referenčne količine'!$W$4:$W$9,MATCH('OB007'!B6,'Referenčne količine'!$B$4:$B$9,0))</f>
        <v>#N/A</v>
      </c>
      <c r="C9" s="681"/>
      <c r="F9" s="214"/>
      <c r="G9" s="5"/>
    </row>
    <row r="10" spans="1:7" ht="13.5" thickBot="1" x14ac:dyDescent="0.25">
      <c r="A10" s="213" t="s">
        <v>296</v>
      </c>
      <c r="B10" s="682" t="e">
        <f ca="1">INDEX('Referenčne količine'!$AD$4:$AD$9,MATCH('OB007'!B6,'Referenčne količine'!$B$4:$B$9,0))</f>
        <v>#N/A</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t="e">
        <f ca="1">INDEX('Referenčne količine'!$AK$4:$AK$9,MATCH('OB007'!$B$6,'Referenčne količine'!$B$4:$B$9,0))</f>
        <v>#N/A</v>
      </c>
      <c r="C14" s="11" t="e">
        <f ca="1">INDEX('Referenčne količine'!$AS$4:$AS$9,MATCH('OB007'!$B$6,'Referenčne količine'!$B$4:$B$9,0))</f>
        <v>#N/A</v>
      </c>
      <c r="E14" s="12"/>
      <c r="F14" s="215"/>
    </row>
    <row r="15" spans="1:7" x14ac:dyDescent="0.2">
      <c r="A15" s="13" t="s">
        <v>148</v>
      </c>
      <c r="B15" s="14" t="e">
        <f ca="1">INDEX('Referenčne količine'!$AM$4:$AM$9,MATCH('OB007'!$B$6,'Referenčne količine'!$B$4:$B$9,0))</f>
        <v>#N/A</v>
      </c>
      <c r="C15" s="14" t="e">
        <f ca="1">INDEX('Referenčne količine'!$AT$4:$AT$9,MATCH('OB007'!$B$6,'Referenčne količine'!$B$4:$B$9,0))</f>
        <v>#N/A</v>
      </c>
      <c r="E15" s="12"/>
      <c r="F15" s="215"/>
    </row>
    <row r="16" spans="1:7" x14ac:dyDescent="0.2">
      <c r="A16" s="15" t="s">
        <v>149</v>
      </c>
      <c r="B16" s="16" t="e">
        <f ca="1">INDEX('Referenčne količine'!$AO$4:$AO$9,MATCH('OB007'!$B$6,'Referenčne količine'!$B$4:$B$9,0))</f>
        <v>#N/A</v>
      </c>
      <c r="C16" s="16" t="e">
        <f ca="1">INDEX('Referenčne količine'!$AW$4:$AW$9,MATCH('OB007'!$B$6,'Referenčne količine'!$B$4:$B$9,0))</f>
        <v>#N/A</v>
      </c>
      <c r="E16" s="5"/>
      <c r="F16" s="214"/>
    </row>
    <row r="17" spans="1:6" x14ac:dyDescent="0.2">
      <c r="A17" s="17" t="s">
        <v>316</v>
      </c>
      <c r="B17" s="16" t="e">
        <f ca="1">INDEX('Referenčne količine'!$AP$4:$AP$9,MATCH('OB007'!$B$6,'Referenčne količine'!$B$4:$B$9,0))</f>
        <v>#N/A</v>
      </c>
      <c r="C17" s="16" t="e">
        <f ca="1">INDEX('Referenčne količine'!$AX$4:$AX$9,MATCH('OB007'!$B$6,'Referenčne količine'!$B$4:$B$9,0))</f>
        <v>#N/A</v>
      </c>
      <c r="E17" s="5"/>
      <c r="F17" s="214"/>
    </row>
    <row r="18" spans="1:6" x14ac:dyDescent="0.2">
      <c r="A18" s="15" t="s">
        <v>315</v>
      </c>
      <c r="B18" s="16" t="e">
        <f ca="1">INDEX('Referenčne količine'!$AQ$4:$AQ$9,MATCH('OB007'!$B$6,'Referenčne količine'!$B$4:$B$9,0))</f>
        <v>#N/A</v>
      </c>
      <c r="C18" s="16" t="e">
        <f ca="1">INDEX('Referenčne količine'!$AY$4:$AY$9,MATCH('OB007'!$B$6,'Referenčne količine'!$B$4:$B$9,0))</f>
        <v>#N/A</v>
      </c>
      <c r="E18" s="12"/>
      <c r="F18" s="215"/>
    </row>
    <row r="19" spans="1:6" x14ac:dyDescent="0.2">
      <c r="A19" s="15" t="s">
        <v>150</v>
      </c>
      <c r="B19" s="18" t="e">
        <f ca="1">INDEX('Referenčne količine'!$AL$4:$AL$9,MATCH('OB007'!$B$6,'Referenčne količine'!$B$4:$B$9,0))</f>
        <v>#N/A</v>
      </c>
      <c r="C19" s="18" t="e">
        <f ca="1">INDEX('Referenčne količine'!$AV$4:$AV$9,MATCH('OB007'!$B$6,'Referenčne količine'!$B$4:$B$9,0))</f>
        <v>#N/A</v>
      </c>
      <c r="E19" s="12"/>
      <c r="F19" s="215"/>
    </row>
    <row r="20" spans="1:6" ht="13.5" thickBot="1" x14ac:dyDescent="0.25">
      <c r="A20" s="19" t="s">
        <v>151</v>
      </c>
      <c r="B20" s="20" t="e">
        <f ca="1">INDEX('Referenčne količine'!$AN$4:$AN$9,MATCH('OB007'!$B$6,'Referenčne količine'!$B$4:$B$9,0))</f>
        <v>#N/A</v>
      </c>
      <c r="C20" s="20" t="e">
        <f ca="1">INDEX('Referenčne količine'!$AN$4:$AN$9,MATCH('OB007'!$B$6,'Referenčne količine'!$B$4:$B$9,0))</f>
        <v>#N/A</v>
      </c>
      <c r="E20" s="12"/>
      <c r="F20" s="215"/>
    </row>
    <row r="21" spans="1:6" x14ac:dyDescent="0.2">
      <c r="A21" s="9" t="s">
        <v>152</v>
      </c>
      <c r="B21" s="10" t="e">
        <f ca="1">INDEX('Referenčne količine'!$AZ$4:$AZ$9,MATCH('OB007'!$B$6,'Referenčne količine'!$B$4:$B$9,0))</f>
        <v>#N/A</v>
      </c>
      <c r="C21" s="10" t="e">
        <f ca="1">INDEX('Referenčne količine'!$BF$4:$BF$9,MATCH('OB007'!$B$6,'Referenčne količine'!$B$4:$B$9,0))</f>
        <v>#N/A</v>
      </c>
      <c r="E21" s="12"/>
      <c r="F21" s="215"/>
    </row>
    <row r="22" spans="1:6" x14ac:dyDescent="0.2">
      <c r="A22" s="21" t="s">
        <v>153</v>
      </c>
      <c r="B22" s="14" t="e">
        <f ca="1">INDEX('Referenčne količine'!$BC$4:$BC$9,MATCH('OB007'!$B$6,'Referenčne količine'!$B$4:$B$9,0))</f>
        <v>#N/A</v>
      </c>
      <c r="C22" s="14" t="e">
        <f ca="1">INDEX('Referenčne količine'!$BH$4:$BH$9,MATCH('OB007'!$B$6,'Referenčne količine'!$B$4:$B$9,0))</f>
        <v>#N/A</v>
      </c>
      <c r="E22" s="12"/>
      <c r="F22" s="215"/>
    </row>
    <row r="23" spans="1:6" x14ac:dyDescent="0.2">
      <c r="A23" s="21" t="s">
        <v>154</v>
      </c>
      <c r="B23" s="14" t="e">
        <f ca="1">INDEX('Referenčne količine'!$BD$4:$BD$9,MATCH('OB007'!$B$6,'Referenčne količine'!$B$4:$B$9,0))</f>
        <v>#N/A</v>
      </c>
      <c r="C23" s="14" t="e">
        <f ca="1">INDEX('Referenčne količine'!$BI$4:$BI$9,MATCH('OB007'!$B$6,'Referenčne količine'!$B$4:$B$9,0))</f>
        <v>#N/A</v>
      </c>
      <c r="E23" s="12"/>
      <c r="F23" s="215"/>
    </row>
    <row r="24" spans="1:6" x14ac:dyDescent="0.2">
      <c r="A24" s="22" t="s">
        <v>155</v>
      </c>
      <c r="B24" s="23" t="e">
        <f ca="1">INDEX('Referenčne količine'!$BA$4:$BA$9,MATCH('OB007'!$B$6,'Referenčne količine'!$B$4:$B$9,0))</f>
        <v>#N/A</v>
      </c>
      <c r="C24" s="24" t="e">
        <f ca="1">INDEX('Referenčne količine'!$BG$4:$BG$9,MATCH('OB007'!$B$6,'Referenčne količine'!$B$4:$B$9,0))</f>
        <v>#N/A</v>
      </c>
      <c r="D24" s="25"/>
      <c r="E24" s="12"/>
      <c r="F24" s="215"/>
    </row>
    <row r="25" spans="1:6" ht="13.5" thickBot="1" x14ac:dyDescent="0.25">
      <c r="A25" s="26" t="s">
        <v>156</v>
      </c>
      <c r="B25" s="62" t="e">
        <f ca="1">INDEX('Referenčne količine'!$BB$4:$BB$9,MATCH('OB007'!$B$6,'Referenčne količine'!$B$4:$B$9,0))</f>
        <v>#N/A</v>
      </c>
      <c r="C25" s="62" t="e">
        <f ca="1">INDEX('Referenčne količine'!$BB$4:$BB$9,MATCH('OB007'!$B$6,'Referenčne količine'!$B$4:$B$9,0))</f>
        <v>#N/A</v>
      </c>
      <c r="E25" s="12"/>
      <c r="F25" s="215"/>
    </row>
    <row r="26" spans="1:6" ht="14.45" customHeight="1" thickBot="1" x14ac:dyDescent="0.25">
      <c r="A26" s="27" t="s">
        <v>157</v>
      </c>
      <c r="B26" s="28" t="e">
        <f ca="1">INDEX('Referenčne količine'!$BK$4:$BK$9,MATCH('OB007'!$B$6,'Referenčne količine'!$B$4:$B$9,0))</f>
        <v>#N/A</v>
      </c>
      <c r="C26" s="29"/>
      <c r="E26" s="12"/>
      <c r="F26" s="215"/>
    </row>
    <row r="27" spans="1:6" ht="13.5" thickBot="1" x14ac:dyDescent="0.25">
      <c r="F27" s="229">
        <f ca="1">VALUE(RIGHT(CELL("filename",A1),2))</f>
        <v>7</v>
      </c>
    </row>
    <row r="28" spans="1:6" ht="25.5" x14ac:dyDescent="0.2">
      <c r="A28" s="219" t="s">
        <v>158</v>
      </c>
      <c r="B28" s="221" t="s">
        <v>299</v>
      </c>
      <c r="C28" s="222" t="s">
        <v>300</v>
      </c>
      <c r="D28" s="221" t="s">
        <v>302</v>
      </c>
      <c r="E28" s="221" t="s">
        <v>301</v>
      </c>
      <c r="F28" s="230"/>
    </row>
    <row r="29" spans="1:6" x14ac:dyDescent="0.2">
      <c r="A29" s="218" t="s">
        <v>491</v>
      </c>
      <c r="B29" s="226" t="s">
        <v>491</v>
      </c>
      <c r="C29" s="226" t="s">
        <v>491</v>
      </c>
      <c r="D29" s="226" t="s">
        <v>491</v>
      </c>
      <c r="E29" s="226" t="s">
        <v>491</v>
      </c>
      <c r="F29" s="231">
        <v>1</v>
      </c>
    </row>
    <row r="30" spans="1:6" ht="13.15" customHeight="1" x14ac:dyDescent="0.2">
      <c r="A30" s="218" t="s">
        <v>491</v>
      </c>
      <c r="B30" s="226" t="s">
        <v>491</v>
      </c>
      <c r="C30" s="226" t="s">
        <v>491</v>
      </c>
      <c r="D30" s="226" t="s">
        <v>491</v>
      </c>
      <c r="E30" s="226" t="s">
        <v>491</v>
      </c>
      <c r="F30" s="231">
        <f t="shared" ref="F30:F53" si="0">F29+1</f>
        <v>2</v>
      </c>
    </row>
    <row r="31" spans="1:6" x14ac:dyDescent="0.2">
      <c r="A31" s="218" t="s">
        <v>491</v>
      </c>
      <c r="B31" s="226" t="s">
        <v>491</v>
      </c>
      <c r="C31" s="226" t="s">
        <v>491</v>
      </c>
      <c r="D31" s="226" t="s">
        <v>491</v>
      </c>
      <c r="E31" s="226" t="s">
        <v>491</v>
      </c>
      <c r="F31" s="231">
        <f t="shared" si="0"/>
        <v>3</v>
      </c>
    </row>
    <row r="32" spans="1:6" x14ac:dyDescent="0.2">
      <c r="A32" s="218" t="s">
        <v>491</v>
      </c>
      <c r="B32" s="226" t="s">
        <v>491</v>
      </c>
      <c r="C32" s="226" t="s">
        <v>491</v>
      </c>
      <c r="D32" s="226" t="s">
        <v>491</v>
      </c>
      <c r="E32" s="226" t="s">
        <v>491</v>
      </c>
      <c r="F32" s="231">
        <f t="shared" si="0"/>
        <v>4</v>
      </c>
    </row>
    <row r="33" spans="1:6" x14ac:dyDescent="0.2">
      <c r="A33" s="218" t="s">
        <v>491</v>
      </c>
      <c r="B33" s="226" t="s">
        <v>491</v>
      </c>
      <c r="C33" s="226" t="s">
        <v>491</v>
      </c>
      <c r="D33" s="226" t="s">
        <v>491</v>
      </c>
      <c r="E33" s="226" t="s">
        <v>491</v>
      </c>
      <c r="F33" s="231">
        <f t="shared" si="0"/>
        <v>5</v>
      </c>
    </row>
    <row r="34" spans="1:6" s="30" customFormat="1" x14ac:dyDescent="0.2">
      <c r="A34" s="218" t="s">
        <v>491</v>
      </c>
      <c r="B34" s="226" t="s">
        <v>491</v>
      </c>
      <c r="C34" s="226" t="s">
        <v>491</v>
      </c>
      <c r="D34" s="226" t="s">
        <v>491</v>
      </c>
      <c r="E34" s="226" t="s">
        <v>491</v>
      </c>
      <c r="F34" s="231">
        <f t="shared" si="0"/>
        <v>6</v>
      </c>
    </row>
    <row r="35" spans="1:6" x14ac:dyDescent="0.2">
      <c r="A35" s="218" t="s">
        <v>491</v>
      </c>
      <c r="B35" s="226" t="s">
        <v>491</v>
      </c>
      <c r="C35" s="226" t="s">
        <v>491</v>
      </c>
      <c r="D35" s="226" t="s">
        <v>491</v>
      </c>
      <c r="E35" s="226" t="s">
        <v>491</v>
      </c>
      <c r="F35" s="231">
        <f t="shared" si="0"/>
        <v>7</v>
      </c>
    </row>
    <row r="36" spans="1:6" x14ac:dyDescent="0.2">
      <c r="A36" s="218" t="s">
        <v>491</v>
      </c>
      <c r="B36" s="226" t="s">
        <v>491</v>
      </c>
      <c r="C36" s="226" t="s">
        <v>491</v>
      </c>
      <c r="D36" s="226" t="s">
        <v>491</v>
      </c>
      <c r="E36" s="226" t="s">
        <v>491</v>
      </c>
      <c r="F36" s="231">
        <f t="shared" si="0"/>
        <v>8</v>
      </c>
    </row>
    <row r="37" spans="1:6" s="30" customFormat="1" x14ac:dyDescent="0.2">
      <c r="A37" s="218" t="s">
        <v>491</v>
      </c>
      <c r="B37" s="226" t="s">
        <v>491</v>
      </c>
      <c r="C37" s="226" t="s">
        <v>491</v>
      </c>
      <c r="D37" s="226" t="s">
        <v>491</v>
      </c>
      <c r="E37" s="226" t="s">
        <v>491</v>
      </c>
      <c r="F37" s="231">
        <f t="shared" si="0"/>
        <v>9</v>
      </c>
    </row>
    <row r="38" spans="1:6" x14ac:dyDescent="0.2">
      <c r="A38" s="218" t="s">
        <v>491</v>
      </c>
      <c r="B38" s="226" t="s">
        <v>491</v>
      </c>
      <c r="C38" s="226" t="s">
        <v>491</v>
      </c>
      <c r="D38" s="226" t="s">
        <v>491</v>
      </c>
      <c r="E38" s="226" t="s">
        <v>491</v>
      </c>
      <c r="F38" s="231">
        <f t="shared" si="0"/>
        <v>10</v>
      </c>
    </row>
    <row r="39" spans="1:6" x14ac:dyDescent="0.2">
      <c r="A39" s="218" t="s">
        <v>491</v>
      </c>
      <c r="B39" s="226" t="s">
        <v>491</v>
      </c>
      <c r="C39" s="226" t="s">
        <v>491</v>
      </c>
      <c r="D39" s="226" t="s">
        <v>491</v>
      </c>
      <c r="E39" s="226" t="s">
        <v>491</v>
      </c>
      <c r="F39" s="231">
        <f t="shared" si="0"/>
        <v>11</v>
      </c>
    </row>
    <row r="40" spans="1:6" ht="13.15" customHeight="1" x14ac:dyDescent="0.2">
      <c r="A40" s="218" t="s">
        <v>491</v>
      </c>
      <c r="B40" s="226" t="s">
        <v>491</v>
      </c>
      <c r="C40" s="226" t="s">
        <v>491</v>
      </c>
      <c r="D40" s="226" t="s">
        <v>491</v>
      </c>
      <c r="E40" s="226" t="s">
        <v>491</v>
      </c>
      <c r="F40" s="231">
        <f t="shared" si="0"/>
        <v>12</v>
      </c>
    </row>
    <row r="41" spans="1:6" x14ac:dyDescent="0.2">
      <c r="A41" s="218" t="s">
        <v>491</v>
      </c>
      <c r="B41" s="226" t="s">
        <v>491</v>
      </c>
      <c r="C41" s="226" t="s">
        <v>491</v>
      </c>
      <c r="D41" s="226" t="s">
        <v>491</v>
      </c>
      <c r="E41" s="226" t="s">
        <v>491</v>
      </c>
      <c r="F41" s="231">
        <f t="shared" si="0"/>
        <v>13</v>
      </c>
    </row>
    <row r="42" spans="1:6" x14ac:dyDescent="0.2">
      <c r="A42" s="218" t="s">
        <v>491</v>
      </c>
      <c r="B42" s="226" t="s">
        <v>491</v>
      </c>
      <c r="C42" s="226" t="s">
        <v>491</v>
      </c>
      <c r="D42" s="226" t="s">
        <v>491</v>
      </c>
      <c r="E42" s="226" t="s">
        <v>491</v>
      </c>
      <c r="F42" s="231">
        <f t="shared" si="0"/>
        <v>14</v>
      </c>
    </row>
    <row r="43" spans="1:6" x14ac:dyDescent="0.2">
      <c r="A43" s="218" t="s">
        <v>491</v>
      </c>
      <c r="B43" s="226" t="s">
        <v>491</v>
      </c>
      <c r="C43" s="226" t="s">
        <v>491</v>
      </c>
      <c r="D43" s="226" t="s">
        <v>491</v>
      </c>
      <c r="E43" s="226" t="s">
        <v>491</v>
      </c>
      <c r="F43" s="231">
        <f t="shared" si="0"/>
        <v>15</v>
      </c>
    </row>
    <row r="44" spans="1:6" x14ac:dyDescent="0.2">
      <c r="A44" s="218" t="s">
        <v>491</v>
      </c>
      <c r="B44" s="226" t="s">
        <v>491</v>
      </c>
      <c r="C44" s="226" t="s">
        <v>491</v>
      </c>
      <c r="D44" s="226" t="s">
        <v>491</v>
      </c>
      <c r="E44" s="226" t="s">
        <v>491</v>
      </c>
      <c r="F44" s="231">
        <f t="shared" si="0"/>
        <v>16</v>
      </c>
    </row>
    <row r="45" spans="1:6" ht="15" customHeight="1" x14ac:dyDescent="0.2">
      <c r="A45" s="218" t="s">
        <v>491</v>
      </c>
      <c r="B45" s="226" t="s">
        <v>491</v>
      </c>
      <c r="C45" s="226" t="s">
        <v>491</v>
      </c>
      <c r="D45" s="226" t="s">
        <v>491</v>
      </c>
      <c r="E45" s="226" t="s">
        <v>491</v>
      </c>
      <c r="F45" s="231">
        <f t="shared" si="0"/>
        <v>17</v>
      </c>
    </row>
    <row r="46" spans="1:6" x14ac:dyDescent="0.2">
      <c r="A46" s="218" t="s">
        <v>491</v>
      </c>
      <c r="B46" s="226" t="s">
        <v>491</v>
      </c>
      <c r="C46" s="226" t="s">
        <v>491</v>
      </c>
      <c r="D46" s="226" t="s">
        <v>491</v>
      </c>
      <c r="E46" s="226" t="s">
        <v>491</v>
      </c>
      <c r="F46" s="231">
        <f t="shared" si="0"/>
        <v>18</v>
      </c>
    </row>
    <row r="47" spans="1:6" x14ac:dyDescent="0.2">
      <c r="A47" s="218" t="s">
        <v>491</v>
      </c>
      <c r="B47" s="226" t="s">
        <v>491</v>
      </c>
      <c r="C47" s="226" t="s">
        <v>491</v>
      </c>
      <c r="D47" s="226" t="s">
        <v>491</v>
      </c>
      <c r="E47" s="226" t="s">
        <v>491</v>
      </c>
      <c r="F47" s="231">
        <f t="shared" si="0"/>
        <v>19</v>
      </c>
    </row>
    <row r="48" spans="1:6" x14ac:dyDescent="0.2">
      <c r="A48" s="218" t="s">
        <v>491</v>
      </c>
      <c r="B48" s="226" t="s">
        <v>491</v>
      </c>
      <c r="C48" s="226" t="s">
        <v>491</v>
      </c>
      <c r="D48" s="226" t="s">
        <v>491</v>
      </c>
      <c r="E48" s="226" t="s">
        <v>491</v>
      </c>
      <c r="F48" s="231">
        <f t="shared" si="0"/>
        <v>20</v>
      </c>
    </row>
    <row r="49" spans="1:17" x14ac:dyDescent="0.2">
      <c r="A49" s="218" t="s">
        <v>491</v>
      </c>
      <c r="B49" s="226" t="s">
        <v>491</v>
      </c>
      <c r="C49" s="226" t="s">
        <v>491</v>
      </c>
      <c r="D49" s="226" t="s">
        <v>491</v>
      </c>
      <c r="E49" s="226" t="s">
        <v>491</v>
      </c>
      <c r="F49" s="231">
        <f t="shared" si="0"/>
        <v>21</v>
      </c>
    </row>
    <row r="50" spans="1:17" x14ac:dyDescent="0.2">
      <c r="A50" s="218" t="s">
        <v>491</v>
      </c>
      <c r="B50" s="226" t="s">
        <v>491</v>
      </c>
      <c r="C50" s="226" t="s">
        <v>491</v>
      </c>
      <c r="D50" s="226" t="s">
        <v>491</v>
      </c>
      <c r="E50" s="226" t="s">
        <v>491</v>
      </c>
      <c r="F50" s="231">
        <f t="shared" si="0"/>
        <v>22</v>
      </c>
    </row>
    <row r="51" spans="1:17" x14ac:dyDescent="0.2">
      <c r="A51" s="218" t="s">
        <v>491</v>
      </c>
      <c r="B51" s="226" t="s">
        <v>491</v>
      </c>
      <c r="C51" s="226" t="s">
        <v>491</v>
      </c>
      <c r="D51" s="226" t="s">
        <v>491</v>
      </c>
      <c r="E51" s="226" t="s">
        <v>491</v>
      </c>
      <c r="F51" s="231">
        <f t="shared" si="0"/>
        <v>23</v>
      </c>
    </row>
    <row r="52" spans="1:17" x14ac:dyDescent="0.2">
      <c r="A52" s="218" t="s">
        <v>491</v>
      </c>
      <c r="B52" s="226" t="s">
        <v>491</v>
      </c>
      <c r="C52" s="226" t="s">
        <v>491</v>
      </c>
      <c r="D52" s="226" t="s">
        <v>491</v>
      </c>
      <c r="E52" s="226" t="s">
        <v>491</v>
      </c>
      <c r="F52" s="231">
        <f t="shared" si="0"/>
        <v>24</v>
      </c>
    </row>
    <row r="53" spans="1:17" ht="13.5" thickBot="1" x14ac:dyDescent="0.25">
      <c r="A53" s="218" t="s">
        <v>491</v>
      </c>
      <c r="B53" s="226" t="s">
        <v>491</v>
      </c>
      <c r="C53" s="226" t="s">
        <v>491</v>
      </c>
      <c r="D53" s="226" t="s">
        <v>491</v>
      </c>
      <c r="E53" s="226" t="s">
        <v>491</v>
      </c>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v>0</v>
      </c>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v>0</v>
      </c>
      <c r="D60" s="5"/>
      <c r="E60" s="31"/>
      <c r="F60" s="216"/>
      <c r="G60" s="31"/>
      <c r="H60" s="31"/>
      <c r="I60" s="31"/>
      <c r="J60" s="31"/>
      <c r="K60" s="31"/>
      <c r="L60" s="31"/>
      <c r="M60" s="31"/>
      <c r="N60" s="31"/>
      <c r="O60" s="31"/>
      <c r="P60" s="31"/>
      <c r="Q60" s="31"/>
    </row>
    <row r="61" spans="1:17" x14ac:dyDescent="0.2">
      <c r="A61" s="689" t="s">
        <v>160</v>
      </c>
      <c r="B61" s="690"/>
      <c r="C61" s="34">
        <v>0</v>
      </c>
      <c r="E61" s="31"/>
      <c r="F61" s="217"/>
      <c r="G61" s="31"/>
      <c r="H61" s="31"/>
      <c r="I61" s="31"/>
      <c r="J61" s="31"/>
      <c r="K61" s="31"/>
      <c r="L61" s="31"/>
      <c r="M61" s="31"/>
      <c r="N61" s="31"/>
      <c r="O61" s="31"/>
      <c r="P61" s="31"/>
      <c r="Q61" s="31"/>
    </row>
    <row r="62" spans="1:17" x14ac:dyDescent="0.2">
      <c r="A62" s="15" t="s">
        <v>149</v>
      </c>
      <c r="B62" s="608"/>
      <c r="C62" s="38">
        <v>0</v>
      </c>
      <c r="E62" s="31"/>
      <c r="F62" s="217"/>
      <c r="G62" s="31"/>
      <c r="H62" s="31"/>
      <c r="I62" s="31"/>
      <c r="J62" s="31"/>
      <c r="K62" s="31"/>
      <c r="L62" s="31"/>
      <c r="M62" s="31"/>
      <c r="N62" s="31"/>
      <c r="O62" s="31"/>
      <c r="P62" s="31"/>
      <c r="Q62" s="31"/>
    </row>
    <row r="63" spans="1:17" x14ac:dyDescent="0.2">
      <c r="A63" s="17" t="s">
        <v>316</v>
      </c>
      <c r="B63" s="608"/>
      <c r="C63" s="38">
        <v>0</v>
      </c>
      <c r="E63" s="31"/>
      <c r="F63" s="217"/>
      <c r="G63" s="31"/>
      <c r="H63" s="31"/>
      <c r="I63" s="31"/>
      <c r="J63" s="31"/>
      <c r="K63" s="31"/>
      <c r="L63" s="31"/>
      <c r="M63" s="31"/>
      <c r="N63" s="31"/>
      <c r="O63" s="31"/>
      <c r="P63" s="31"/>
      <c r="Q63" s="31"/>
    </row>
    <row r="64" spans="1:17" x14ac:dyDescent="0.2">
      <c r="A64" s="15" t="s">
        <v>315</v>
      </c>
      <c r="B64" s="608"/>
      <c r="C64" s="38">
        <v>0</v>
      </c>
      <c r="E64" s="31"/>
      <c r="F64" s="217"/>
      <c r="G64" s="31"/>
      <c r="H64" s="31"/>
      <c r="I64" s="31"/>
      <c r="J64" s="31"/>
      <c r="K64" s="31"/>
      <c r="L64" s="31"/>
      <c r="M64" s="31"/>
      <c r="N64" s="31"/>
      <c r="O64" s="31"/>
      <c r="P64" s="31"/>
      <c r="Q64" s="31"/>
    </row>
    <row r="65" spans="1:17" x14ac:dyDescent="0.2">
      <c r="A65" s="693" t="s">
        <v>308</v>
      </c>
      <c r="B65" s="694"/>
      <c r="C65" s="35">
        <v>0</v>
      </c>
      <c r="E65" s="31"/>
      <c r="F65" s="217"/>
      <c r="G65" s="31"/>
      <c r="H65" s="31"/>
      <c r="I65" s="31"/>
      <c r="J65" s="31"/>
      <c r="K65" s="31"/>
      <c r="L65" s="31"/>
      <c r="M65" s="31"/>
      <c r="N65" s="31"/>
      <c r="O65" s="31"/>
      <c r="P65" s="31"/>
      <c r="Q65" s="31"/>
    </row>
    <row r="66" spans="1:17" x14ac:dyDescent="0.2">
      <c r="A66" s="607" t="s">
        <v>306</v>
      </c>
      <c r="B66" s="608"/>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v>0</v>
      </c>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607" t="s">
        <v>164</v>
      </c>
      <c r="B70" s="608"/>
      <c r="C70" s="40" t="e">
        <f ca="1">(C67+C68)*C20+C61*(C20-C65)</f>
        <v>#N/A</v>
      </c>
      <c r="E70" s="31"/>
      <c r="F70" s="217"/>
      <c r="G70" s="31"/>
      <c r="H70" s="31"/>
      <c r="I70" s="31"/>
      <c r="J70" s="31"/>
      <c r="K70" s="31"/>
      <c r="L70" s="31"/>
      <c r="M70" s="31"/>
      <c r="N70" s="31"/>
      <c r="O70" s="31"/>
      <c r="P70" s="31"/>
      <c r="Q70" s="31"/>
    </row>
    <row r="71" spans="1:17" x14ac:dyDescent="0.2">
      <c r="A71" s="607" t="s">
        <v>165</v>
      </c>
      <c r="B71" s="608"/>
      <c r="C71" s="41" t="e">
        <f ca="1">(C67+C68)/C15</f>
        <v>#N/A</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v>0</v>
      </c>
      <c r="E73" s="46"/>
    </row>
    <row r="74" spans="1:17" x14ac:dyDescent="0.2">
      <c r="A74" s="695" t="s">
        <v>153</v>
      </c>
      <c r="B74" s="696"/>
      <c r="C74" s="38">
        <v>0</v>
      </c>
      <c r="E74" s="46"/>
    </row>
    <row r="75" spans="1:17" x14ac:dyDescent="0.2">
      <c r="A75" s="695" t="s">
        <v>154</v>
      </c>
      <c r="B75" s="696"/>
      <c r="C75" s="38">
        <v>0</v>
      </c>
      <c r="E75" s="46"/>
    </row>
    <row r="76" spans="1:17" x14ac:dyDescent="0.2">
      <c r="A76" s="689" t="s">
        <v>166</v>
      </c>
      <c r="B76" s="690"/>
      <c r="C76" s="35">
        <v>0</v>
      </c>
    </row>
    <row r="77" spans="1:17" x14ac:dyDescent="0.2">
      <c r="A77" s="689" t="s">
        <v>167</v>
      </c>
      <c r="B77" s="690"/>
      <c r="C77" s="36">
        <f>ROUND(IF(C73=0,0,C21-C73),0)</f>
        <v>0</v>
      </c>
      <c r="D77" s="46"/>
    </row>
    <row r="78" spans="1:17" x14ac:dyDescent="0.2">
      <c r="A78" s="689" t="s">
        <v>168</v>
      </c>
      <c r="B78" s="690"/>
      <c r="C78" s="47">
        <v>0</v>
      </c>
    </row>
    <row r="79" spans="1:17" x14ac:dyDescent="0.2">
      <c r="A79" s="689" t="s">
        <v>169</v>
      </c>
      <c r="B79" s="690"/>
      <c r="C79" s="39">
        <f>C73*C76</f>
        <v>0</v>
      </c>
    </row>
    <row r="80" spans="1:17" x14ac:dyDescent="0.2">
      <c r="A80" s="605" t="s">
        <v>170</v>
      </c>
      <c r="B80" s="606"/>
      <c r="C80" s="40" t="e">
        <f ca="1">(C77+C78)*C25+C73*(C25-C76)</f>
        <v>#N/A</v>
      </c>
    </row>
    <row r="81" spans="1:3" x14ac:dyDescent="0.2">
      <c r="A81" s="689" t="s">
        <v>171</v>
      </c>
      <c r="B81" s="690"/>
      <c r="C81" s="41" t="e">
        <f ca="1">(C77+C78)/C21</f>
        <v>#N/A</v>
      </c>
    </row>
    <row r="82" spans="1:3" x14ac:dyDescent="0.2">
      <c r="A82" s="42"/>
      <c r="B82" s="43"/>
      <c r="C82" s="44"/>
    </row>
    <row r="83" spans="1:3" x14ac:dyDescent="0.2">
      <c r="A83" s="689" t="s">
        <v>172</v>
      </c>
      <c r="B83" s="690"/>
      <c r="C83" s="48">
        <v>0</v>
      </c>
    </row>
    <row r="84" spans="1:3" ht="15" x14ac:dyDescent="0.3">
      <c r="A84" s="689" t="s">
        <v>173</v>
      </c>
      <c r="B84" s="690"/>
      <c r="C84" s="232" t="e">
        <f ca="1">B26-C83</f>
        <v>#N/A</v>
      </c>
    </row>
    <row r="85" spans="1:3" ht="13.5" thickBot="1" x14ac:dyDescent="0.25">
      <c r="A85" s="193" t="s">
        <v>174</v>
      </c>
      <c r="B85" s="194"/>
      <c r="C85" s="233" t="e">
        <f ca="1">IF(B26&gt;0,C84/B26,0)</f>
        <v>#N/A</v>
      </c>
    </row>
    <row r="86" spans="1:3" ht="13.5" thickBot="1" x14ac:dyDescent="0.25">
      <c r="C86" s="30"/>
    </row>
    <row r="87" spans="1:3" ht="13.5" thickBot="1" x14ac:dyDescent="0.25">
      <c r="A87" s="697" t="s">
        <v>175</v>
      </c>
      <c r="B87" s="698"/>
      <c r="C87" s="49" t="e">
        <f ca="1">C70+C80+C84</f>
        <v>#N/A</v>
      </c>
    </row>
    <row r="88" spans="1:3" ht="13.5" thickBot="1" x14ac:dyDescent="0.25">
      <c r="A88" s="699" t="s">
        <v>9</v>
      </c>
      <c r="B88" s="700"/>
      <c r="C88" s="50" t="e">
        <f ca="1">C107</f>
        <v>#N/A</v>
      </c>
    </row>
    <row r="90" spans="1:3" x14ac:dyDescent="0.2">
      <c r="A90" s="701" t="s">
        <v>8</v>
      </c>
      <c r="B90" s="701"/>
      <c r="C90" s="701"/>
    </row>
    <row r="91" spans="1:3" x14ac:dyDescent="0.2">
      <c r="A91" s="604" t="s">
        <v>7</v>
      </c>
      <c r="B91" s="604" t="s">
        <v>6</v>
      </c>
      <c r="C91" s="604" t="s">
        <v>5</v>
      </c>
    </row>
    <row r="92" spans="1:3" x14ac:dyDescent="0.2">
      <c r="A92" s="51">
        <v>1</v>
      </c>
      <c r="B92" s="52" t="e">
        <f ca="1">$C$87</f>
        <v>#N/A</v>
      </c>
      <c r="C92" s="53" t="e">
        <f t="shared" ref="C92:C106" ca="1" si="1">B92/(1+$B$109)^A92</f>
        <v>#N/A</v>
      </c>
    </row>
    <row r="93" spans="1:3" x14ac:dyDescent="0.2">
      <c r="A93" s="51">
        <v>2</v>
      </c>
      <c r="B93" s="52" t="e">
        <f t="shared" ref="B93:B106" ca="1" si="2">$C$87</f>
        <v>#N/A</v>
      </c>
      <c r="C93" s="53" t="e">
        <f t="shared" ca="1" si="1"/>
        <v>#N/A</v>
      </c>
    </row>
    <row r="94" spans="1:3" x14ac:dyDescent="0.2">
      <c r="A94" s="51">
        <v>3</v>
      </c>
      <c r="B94" s="52" t="e">
        <f t="shared" ca="1" si="2"/>
        <v>#N/A</v>
      </c>
      <c r="C94" s="53" t="e">
        <f t="shared" ca="1" si="1"/>
        <v>#N/A</v>
      </c>
    </row>
    <row r="95" spans="1:3" x14ac:dyDescent="0.2">
      <c r="A95" s="51">
        <v>4</v>
      </c>
      <c r="B95" s="52" t="e">
        <f t="shared" ca="1" si="2"/>
        <v>#N/A</v>
      </c>
      <c r="C95" s="53" t="e">
        <f t="shared" ca="1" si="1"/>
        <v>#N/A</v>
      </c>
    </row>
    <row r="96" spans="1:3" x14ac:dyDescent="0.2">
      <c r="A96" s="51">
        <v>5</v>
      </c>
      <c r="B96" s="52" t="e">
        <f t="shared" ca="1" si="2"/>
        <v>#N/A</v>
      </c>
      <c r="C96" s="53" t="e">
        <f t="shared" ca="1" si="1"/>
        <v>#N/A</v>
      </c>
    </row>
    <row r="97" spans="1:17" x14ac:dyDescent="0.2">
      <c r="A97" s="51">
        <v>6</v>
      </c>
      <c r="B97" s="52" t="e">
        <f t="shared" ca="1" si="2"/>
        <v>#N/A</v>
      </c>
      <c r="C97" s="53" t="e">
        <f t="shared" ca="1" si="1"/>
        <v>#N/A</v>
      </c>
    </row>
    <row r="98" spans="1:17" x14ac:dyDescent="0.2">
      <c r="A98" s="51">
        <v>7</v>
      </c>
      <c r="B98" s="52" t="e">
        <f t="shared" ca="1" si="2"/>
        <v>#N/A</v>
      </c>
      <c r="C98" s="53" t="e">
        <f t="shared" ca="1" si="1"/>
        <v>#N/A</v>
      </c>
    </row>
    <row r="99" spans="1:17" x14ac:dyDescent="0.2">
      <c r="A99" s="51">
        <v>8</v>
      </c>
      <c r="B99" s="52" t="e">
        <f t="shared" ca="1" si="2"/>
        <v>#N/A</v>
      </c>
      <c r="C99" s="53" t="e">
        <f t="shared" ca="1" si="1"/>
        <v>#N/A</v>
      </c>
    </row>
    <row r="100" spans="1:17" x14ac:dyDescent="0.2">
      <c r="A100" s="51">
        <v>9</v>
      </c>
      <c r="B100" s="52" t="e">
        <f t="shared" ca="1" si="2"/>
        <v>#N/A</v>
      </c>
      <c r="C100" s="53" t="e">
        <f t="shared" ca="1" si="1"/>
        <v>#N/A</v>
      </c>
    </row>
    <row r="101" spans="1:17" x14ac:dyDescent="0.2">
      <c r="A101" s="51">
        <v>10</v>
      </c>
      <c r="B101" s="52" t="e">
        <f t="shared" ca="1" si="2"/>
        <v>#N/A</v>
      </c>
      <c r="C101" s="53" t="e">
        <f t="shared" ca="1" si="1"/>
        <v>#N/A</v>
      </c>
    </row>
    <row r="102" spans="1:17" s="30" customFormat="1" x14ac:dyDescent="0.2">
      <c r="A102" s="51">
        <v>11</v>
      </c>
      <c r="B102" s="52" t="e">
        <f t="shared" ca="1" si="2"/>
        <v>#N/A</v>
      </c>
      <c r="C102" s="53" t="e">
        <f t="shared" ca="1" si="1"/>
        <v>#N/A</v>
      </c>
      <c r="D102" s="1"/>
      <c r="E102" s="1"/>
      <c r="G102" s="1"/>
      <c r="H102" s="1"/>
      <c r="I102" s="1"/>
      <c r="J102" s="1"/>
      <c r="K102" s="1"/>
      <c r="L102" s="1"/>
      <c r="M102" s="1"/>
      <c r="N102" s="1"/>
      <c r="O102" s="1"/>
      <c r="P102" s="1"/>
      <c r="Q102" s="1"/>
    </row>
    <row r="103" spans="1:17" s="30" customFormat="1" x14ac:dyDescent="0.2">
      <c r="A103" s="51">
        <v>12</v>
      </c>
      <c r="B103" s="52" t="e">
        <f t="shared" ca="1" si="2"/>
        <v>#N/A</v>
      </c>
      <c r="C103" s="53" t="e">
        <f t="shared" ca="1" si="1"/>
        <v>#N/A</v>
      </c>
      <c r="D103" s="1"/>
      <c r="E103" s="1"/>
      <c r="G103" s="1"/>
      <c r="H103" s="1"/>
      <c r="I103" s="1"/>
      <c r="J103" s="1"/>
      <c r="K103" s="1"/>
      <c r="L103" s="1"/>
      <c r="M103" s="1"/>
      <c r="N103" s="1"/>
      <c r="O103" s="1"/>
      <c r="P103" s="1"/>
      <c r="Q103" s="1"/>
    </row>
    <row r="104" spans="1:17" s="30" customFormat="1" x14ac:dyDescent="0.2">
      <c r="A104" s="51">
        <v>13</v>
      </c>
      <c r="B104" s="52" t="e">
        <f t="shared" ca="1" si="2"/>
        <v>#N/A</v>
      </c>
      <c r="C104" s="53" t="e">
        <f t="shared" ca="1" si="1"/>
        <v>#N/A</v>
      </c>
      <c r="D104" s="1"/>
      <c r="E104" s="1"/>
      <c r="G104" s="1"/>
      <c r="H104" s="1"/>
      <c r="I104" s="1"/>
      <c r="J104" s="1"/>
      <c r="K104" s="1"/>
      <c r="L104" s="1"/>
      <c r="M104" s="1"/>
      <c r="N104" s="1"/>
      <c r="O104" s="1"/>
      <c r="P104" s="1"/>
      <c r="Q104" s="1"/>
    </row>
    <row r="105" spans="1:17" s="30" customFormat="1" x14ac:dyDescent="0.2">
      <c r="A105" s="51">
        <v>14</v>
      </c>
      <c r="B105" s="52" t="e">
        <f t="shared" ca="1" si="2"/>
        <v>#N/A</v>
      </c>
      <c r="C105" s="53" t="e">
        <f t="shared" ca="1" si="1"/>
        <v>#N/A</v>
      </c>
      <c r="D105" s="1"/>
      <c r="E105" s="1"/>
      <c r="G105" s="1"/>
      <c r="H105" s="1"/>
      <c r="I105" s="1"/>
      <c r="J105" s="1"/>
      <c r="K105" s="1"/>
      <c r="L105" s="1"/>
      <c r="M105" s="1"/>
      <c r="N105" s="1"/>
      <c r="O105" s="1"/>
      <c r="P105" s="1"/>
      <c r="Q105" s="1"/>
    </row>
    <row r="106" spans="1:17" s="30" customFormat="1" x14ac:dyDescent="0.2">
      <c r="A106" s="51">
        <v>15</v>
      </c>
      <c r="B106" s="52" t="e">
        <f t="shared" ca="1" si="2"/>
        <v>#N/A</v>
      </c>
      <c r="C106" s="53" t="e">
        <f t="shared" ca="1" si="1"/>
        <v>#N/A</v>
      </c>
      <c r="D106" s="1"/>
      <c r="E106" s="1"/>
      <c r="G106" s="1"/>
      <c r="H106" s="1"/>
      <c r="I106" s="1"/>
      <c r="J106" s="1"/>
      <c r="K106" s="1"/>
      <c r="L106" s="1"/>
      <c r="M106" s="1"/>
      <c r="N106" s="1"/>
      <c r="O106" s="1"/>
      <c r="P106" s="1"/>
      <c r="Q106" s="1"/>
    </row>
    <row r="107" spans="1:17" s="30" customFormat="1" x14ac:dyDescent="0.2">
      <c r="A107" s="702" t="s">
        <v>4</v>
      </c>
      <c r="B107" s="702"/>
      <c r="C107" s="54" t="e">
        <f ca="1">SUM(C92:C106)</f>
        <v>#N/A</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v>0</v>
      </c>
      <c r="C114" s="59">
        <f t="shared" ref="C114:C119" si="3">B114*$C$61</f>
        <v>0</v>
      </c>
      <c r="D114" s="237">
        <v>0</v>
      </c>
      <c r="E114" s="235" t="s">
        <v>491</v>
      </c>
      <c r="G114" s="1"/>
      <c r="H114" s="1"/>
      <c r="I114" s="1"/>
      <c r="J114" s="1"/>
      <c r="K114" s="1"/>
      <c r="L114" s="1"/>
      <c r="M114" s="1"/>
      <c r="N114" s="1"/>
      <c r="O114" s="1"/>
      <c r="P114" s="1"/>
      <c r="Q114" s="1"/>
    </row>
    <row r="115" spans="1:17" s="30" customFormat="1" x14ac:dyDescent="0.2">
      <c r="A115" s="241" t="s">
        <v>318</v>
      </c>
      <c r="B115" s="234">
        <v>0</v>
      </c>
      <c r="C115" s="59">
        <f t="shared" si="3"/>
        <v>0</v>
      </c>
      <c r="D115" s="237">
        <v>0</v>
      </c>
      <c r="E115" s="235">
        <v>0</v>
      </c>
      <c r="G115" s="1"/>
      <c r="H115" s="1"/>
      <c r="I115" s="1"/>
      <c r="J115" s="1"/>
      <c r="K115" s="1"/>
      <c r="L115" s="1"/>
      <c r="M115" s="1"/>
      <c r="N115" s="1"/>
      <c r="O115" s="1"/>
      <c r="P115" s="1"/>
      <c r="Q115" s="1"/>
    </row>
    <row r="116" spans="1:17" s="30" customFormat="1" x14ac:dyDescent="0.2">
      <c r="A116" s="241" t="s">
        <v>319</v>
      </c>
      <c r="B116" s="234">
        <v>0</v>
      </c>
      <c r="C116" s="59">
        <f t="shared" si="3"/>
        <v>0</v>
      </c>
      <c r="D116" s="237">
        <v>0</v>
      </c>
      <c r="E116" s="235">
        <v>0</v>
      </c>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v>0</v>
      </c>
      <c r="C124" s="61">
        <v>3000</v>
      </c>
    </row>
    <row r="125" spans="1:17" x14ac:dyDescent="0.2">
      <c r="A125" s="58" t="s">
        <v>184</v>
      </c>
      <c r="B125" s="61">
        <v>0</v>
      </c>
      <c r="C125" s="61">
        <v>2500</v>
      </c>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50"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55F6A-EA83-4BEC-A212-22D6262C8F64}">
  <sheetPr>
    <tabColor rgb="FFFF0000"/>
    <pageSetUpPr fitToPage="1"/>
  </sheetPr>
  <dimension ref="A1:Q125"/>
  <sheetViews>
    <sheetView topLeftCell="A31" workbookViewId="0">
      <selection activeCell="I50" sqref="I50"/>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e">
        <f ca="1">INDEX('Referenčne količine'!$C$4:$C$9,MATCH('OB008'!B6,'Referenčne količine'!$B$4:$B$9,0))</f>
        <v>#N/A</v>
      </c>
      <c r="C4" s="675"/>
    </row>
    <row r="5" spans="1:7" x14ac:dyDescent="0.2">
      <c r="A5" s="4" t="s">
        <v>16</v>
      </c>
      <c r="B5" s="676" t="e">
        <f ca="1">INDEX('Referenčne količine'!$D$4:$D$9,MATCH('OB008'!B6,'Referenčne količine'!$B$4:$B$9,0))</f>
        <v>#N/A</v>
      </c>
      <c r="C5" s="677"/>
    </row>
    <row r="6" spans="1:7" x14ac:dyDescent="0.2">
      <c r="A6" s="4" t="s">
        <v>15</v>
      </c>
      <c r="B6" s="676" t="str">
        <f ca="1">RIGHT(CELL("filename",A1),5)</f>
        <v>OB008</v>
      </c>
      <c r="C6" s="677"/>
    </row>
    <row r="7" spans="1:7" x14ac:dyDescent="0.2">
      <c r="A7" s="4" t="s">
        <v>14</v>
      </c>
      <c r="B7" s="678" t="e">
        <f ca="1">INDEX('Referenčne količine'!$G$4:$G$9,MATCH('OB008'!B6,'Referenčne količine'!$B$4:$B$9,0))</f>
        <v>#N/A</v>
      </c>
      <c r="C7" s="679"/>
      <c r="F7" s="214"/>
      <c r="G7" s="5"/>
    </row>
    <row r="8" spans="1:7" x14ac:dyDescent="0.2">
      <c r="A8" s="4" t="s">
        <v>294</v>
      </c>
      <c r="B8" s="680" t="e">
        <f ca="1">INDEX('Referenčne količine'!$P$4:$P$9,MATCH('OB008'!B6,'Referenčne količine'!$B$4:$B$9,0))</f>
        <v>#N/A</v>
      </c>
      <c r="C8" s="681"/>
      <c r="F8" s="214"/>
      <c r="G8" s="5"/>
    </row>
    <row r="9" spans="1:7" x14ac:dyDescent="0.2">
      <c r="A9" s="4" t="s">
        <v>295</v>
      </c>
      <c r="B9" s="680" t="e">
        <f ca="1">INDEX('Referenčne količine'!$W$4:$W$9,MATCH('OB008'!B6,'Referenčne količine'!$B$4:$B$9,0))</f>
        <v>#N/A</v>
      </c>
      <c r="C9" s="681"/>
      <c r="F9" s="214"/>
      <c r="G9" s="5"/>
    </row>
    <row r="10" spans="1:7" ht="13.5" thickBot="1" x14ac:dyDescent="0.25">
      <c r="A10" s="213" t="s">
        <v>296</v>
      </c>
      <c r="B10" s="682" t="e">
        <f ca="1">INDEX('Referenčne količine'!$AD$4:$AD$9,MATCH('OB008'!B6,'Referenčne količine'!$B$4:$B$9,0))</f>
        <v>#N/A</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t="e">
        <f ca="1">INDEX('Referenčne količine'!$AK$4:$AK$9,MATCH('OB008'!$B$6,'Referenčne količine'!$B$4:$B$9,0))</f>
        <v>#N/A</v>
      </c>
      <c r="C14" s="11" t="e">
        <f ca="1">INDEX('Referenčne količine'!$AS$4:$AS$9,MATCH('OB008'!$B$6,'Referenčne količine'!$B$4:$B$9,0))</f>
        <v>#N/A</v>
      </c>
      <c r="E14" s="12"/>
      <c r="F14" s="215"/>
    </row>
    <row r="15" spans="1:7" x14ac:dyDescent="0.2">
      <c r="A15" s="13" t="s">
        <v>148</v>
      </c>
      <c r="B15" s="14" t="e">
        <f ca="1">INDEX('Referenčne količine'!$AM$4:$AM$9,MATCH('OB008'!$B$6,'Referenčne količine'!$B$4:$B$9,0))</f>
        <v>#N/A</v>
      </c>
      <c r="C15" s="14" t="e">
        <f ca="1">INDEX('Referenčne količine'!$AT$4:$AT$9,MATCH('OB008'!$B$6,'Referenčne količine'!$B$4:$B$9,0))</f>
        <v>#N/A</v>
      </c>
      <c r="E15" s="12"/>
      <c r="F15" s="215"/>
    </row>
    <row r="16" spans="1:7" x14ac:dyDescent="0.2">
      <c r="A16" s="15" t="s">
        <v>149</v>
      </c>
      <c r="B16" s="16" t="e">
        <f ca="1">INDEX('Referenčne količine'!$AO$4:$AO$9,MATCH('OB008'!$B$6,'Referenčne količine'!$B$4:$B$9,0))</f>
        <v>#N/A</v>
      </c>
      <c r="C16" s="16" t="e">
        <f ca="1">INDEX('Referenčne količine'!$AW$4:$AW$9,MATCH('OB008'!$B$6,'Referenčne količine'!$B$4:$B$9,0))</f>
        <v>#N/A</v>
      </c>
      <c r="E16" s="5"/>
      <c r="F16" s="214"/>
    </row>
    <row r="17" spans="1:6" x14ac:dyDescent="0.2">
      <c r="A17" s="17" t="s">
        <v>316</v>
      </c>
      <c r="B17" s="16" t="e">
        <f ca="1">INDEX('Referenčne količine'!$AP$4:$AP$9,MATCH('OB008'!$B$6,'Referenčne količine'!$B$4:$B$9,0))</f>
        <v>#N/A</v>
      </c>
      <c r="C17" s="16" t="e">
        <f ca="1">INDEX('Referenčne količine'!$AX$4:$AX$9,MATCH('OB008'!$B$6,'Referenčne količine'!$B$4:$B$9,0))</f>
        <v>#N/A</v>
      </c>
      <c r="E17" s="5"/>
      <c r="F17" s="214"/>
    </row>
    <row r="18" spans="1:6" x14ac:dyDescent="0.2">
      <c r="A18" s="15" t="s">
        <v>315</v>
      </c>
      <c r="B18" s="16" t="e">
        <f ca="1">INDEX('Referenčne količine'!$AQ$4:$AQ$9,MATCH('OB008'!$B$6,'Referenčne količine'!$B$4:$B$9,0))</f>
        <v>#N/A</v>
      </c>
      <c r="C18" s="16" t="e">
        <f ca="1">INDEX('Referenčne količine'!$AY$4:$AY$9,MATCH('OB008'!$B$6,'Referenčne količine'!$B$4:$B$9,0))</f>
        <v>#N/A</v>
      </c>
      <c r="E18" s="12"/>
      <c r="F18" s="215"/>
    </row>
    <row r="19" spans="1:6" x14ac:dyDescent="0.2">
      <c r="A19" s="15" t="s">
        <v>150</v>
      </c>
      <c r="B19" s="18" t="e">
        <f ca="1">INDEX('Referenčne količine'!$AL$4:$AL$9,MATCH('OB008'!$B$6,'Referenčne količine'!$B$4:$B$9,0))</f>
        <v>#N/A</v>
      </c>
      <c r="C19" s="18" t="e">
        <f ca="1">INDEX('Referenčne količine'!$AV$4:$AV$9,MATCH('OB008'!$B$6,'Referenčne količine'!$B$4:$B$9,0))</f>
        <v>#N/A</v>
      </c>
      <c r="E19" s="12"/>
      <c r="F19" s="215"/>
    </row>
    <row r="20" spans="1:6" ht="13.5" thickBot="1" x14ac:dyDescent="0.25">
      <c r="A20" s="19" t="s">
        <v>151</v>
      </c>
      <c r="B20" s="20" t="e">
        <f ca="1">INDEX('Referenčne količine'!$AN$4:$AN$9,MATCH('OB008'!$B$6,'Referenčne količine'!$B$4:$B$9,0))</f>
        <v>#N/A</v>
      </c>
      <c r="C20" s="20" t="e">
        <f ca="1">INDEX('Referenčne količine'!$AN$4:$AN$9,MATCH('OB008'!$B$6,'Referenčne količine'!$B$4:$B$9,0))</f>
        <v>#N/A</v>
      </c>
      <c r="E20" s="12"/>
      <c r="F20" s="215"/>
    </row>
    <row r="21" spans="1:6" x14ac:dyDescent="0.2">
      <c r="A21" s="9" t="s">
        <v>152</v>
      </c>
      <c r="B21" s="10" t="e">
        <f ca="1">INDEX('Referenčne količine'!$AZ$4:$AZ$9,MATCH('OB008'!$B$6,'Referenčne količine'!$B$4:$B$9,0))</f>
        <v>#N/A</v>
      </c>
      <c r="C21" s="10" t="e">
        <f ca="1">INDEX('Referenčne količine'!$BF$4:$BF$9,MATCH('OB008'!$B$6,'Referenčne količine'!$B$4:$B$9,0))</f>
        <v>#N/A</v>
      </c>
      <c r="E21" s="12"/>
      <c r="F21" s="215"/>
    </row>
    <row r="22" spans="1:6" x14ac:dyDescent="0.2">
      <c r="A22" s="21" t="s">
        <v>153</v>
      </c>
      <c r="B22" s="14" t="e">
        <f ca="1">INDEX('Referenčne količine'!$BC$4:$BC$9,MATCH('OB008'!$B$6,'Referenčne količine'!$B$4:$B$9,0))</f>
        <v>#N/A</v>
      </c>
      <c r="C22" s="14" t="e">
        <f ca="1">INDEX('Referenčne količine'!$BH$4:$BH$9,MATCH('OB008'!$B$6,'Referenčne količine'!$B$4:$B$9,0))</f>
        <v>#N/A</v>
      </c>
      <c r="E22" s="12"/>
      <c r="F22" s="215"/>
    </row>
    <row r="23" spans="1:6" x14ac:dyDescent="0.2">
      <c r="A23" s="21" t="s">
        <v>154</v>
      </c>
      <c r="B23" s="14" t="e">
        <f ca="1">INDEX('Referenčne količine'!$BD$4:$BD$9,MATCH('OB008'!$B$6,'Referenčne količine'!$B$4:$B$9,0))</f>
        <v>#N/A</v>
      </c>
      <c r="C23" s="14" t="e">
        <f ca="1">INDEX('Referenčne količine'!$BI$4:$BI$9,MATCH('OB008'!$B$6,'Referenčne količine'!$B$4:$B$9,0))</f>
        <v>#N/A</v>
      </c>
      <c r="E23" s="12"/>
      <c r="F23" s="215"/>
    </row>
    <row r="24" spans="1:6" x14ac:dyDescent="0.2">
      <c r="A24" s="22" t="s">
        <v>155</v>
      </c>
      <c r="B24" s="23" t="e">
        <f ca="1">INDEX('Referenčne količine'!$BA$4:$BA$9,MATCH('OB008'!$B$6,'Referenčne količine'!$B$4:$B$9,0))</f>
        <v>#N/A</v>
      </c>
      <c r="C24" s="24" t="e">
        <f ca="1">INDEX('Referenčne količine'!$BG$4:$BG$9,MATCH('OB008'!$B$6,'Referenčne količine'!$B$4:$B$9,0))</f>
        <v>#N/A</v>
      </c>
      <c r="D24" s="25"/>
      <c r="E24" s="12"/>
      <c r="F24" s="215"/>
    </row>
    <row r="25" spans="1:6" ht="13.5" thickBot="1" x14ac:dyDescent="0.25">
      <c r="A25" s="26" t="s">
        <v>156</v>
      </c>
      <c r="B25" s="62" t="e">
        <f ca="1">INDEX('Referenčne količine'!$BB$4:$BB$9,MATCH('OB008'!$B$6,'Referenčne količine'!$B$4:$B$9,0))</f>
        <v>#N/A</v>
      </c>
      <c r="C25" s="62" t="e">
        <f ca="1">INDEX('Referenčne količine'!$BB$4:$BB$9,MATCH('OB008'!$B$6,'Referenčne količine'!$B$4:$B$9,0))</f>
        <v>#N/A</v>
      </c>
      <c r="E25" s="12"/>
      <c r="F25" s="215"/>
    </row>
    <row r="26" spans="1:6" ht="14.45" customHeight="1" thickBot="1" x14ac:dyDescent="0.25">
      <c r="A26" s="27" t="s">
        <v>157</v>
      </c>
      <c r="B26" s="28" t="e">
        <f ca="1">INDEX('Referenčne količine'!$BK$4:$BK$9,MATCH('OB008'!$B$6,'Referenčne količine'!$B$4:$B$9,0))</f>
        <v>#N/A</v>
      </c>
      <c r="C26" s="29"/>
      <c r="E26" s="12"/>
      <c r="F26" s="215"/>
    </row>
    <row r="27" spans="1:6" ht="13.5" thickBot="1" x14ac:dyDescent="0.25">
      <c r="F27" s="229">
        <f ca="1">VALUE(RIGHT(CELL("filename",A1),2))</f>
        <v>8</v>
      </c>
    </row>
    <row r="28" spans="1:6" ht="25.5" x14ac:dyDescent="0.2">
      <c r="A28" s="219" t="s">
        <v>158</v>
      </c>
      <c r="B28" s="221" t="s">
        <v>299</v>
      </c>
      <c r="C28" s="222" t="s">
        <v>300</v>
      </c>
      <c r="D28" s="221" t="s">
        <v>302</v>
      </c>
      <c r="E28" s="221" t="s">
        <v>301</v>
      </c>
      <c r="F28" s="230"/>
    </row>
    <row r="29" spans="1:6" x14ac:dyDescent="0.2">
      <c r="A29" s="218" t="s">
        <v>491</v>
      </c>
      <c r="B29" s="226" t="s">
        <v>491</v>
      </c>
      <c r="C29" s="226" t="s">
        <v>491</v>
      </c>
      <c r="D29" s="226" t="s">
        <v>491</v>
      </c>
      <c r="E29" s="226" t="s">
        <v>491</v>
      </c>
      <c r="F29" s="231">
        <v>1</v>
      </c>
    </row>
    <row r="30" spans="1:6" ht="13.15" customHeight="1" x14ac:dyDescent="0.2">
      <c r="A30" s="218" t="s">
        <v>491</v>
      </c>
      <c r="B30" s="226" t="s">
        <v>491</v>
      </c>
      <c r="C30" s="226" t="s">
        <v>491</v>
      </c>
      <c r="D30" s="226" t="s">
        <v>491</v>
      </c>
      <c r="E30" s="226" t="s">
        <v>491</v>
      </c>
      <c r="F30" s="231">
        <f t="shared" ref="F30:F53" si="0">F29+1</f>
        <v>2</v>
      </c>
    </row>
    <row r="31" spans="1:6" x14ac:dyDescent="0.2">
      <c r="A31" s="218" t="s">
        <v>491</v>
      </c>
      <c r="B31" s="226" t="s">
        <v>491</v>
      </c>
      <c r="C31" s="226" t="s">
        <v>491</v>
      </c>
      <c r="D31" s="226" t="s">
        <v>491</v>
      </c>
      <c r="E31" s="226" t="s">
        <v>491</v>
      </c>
      <c r="F31" s="231">
        <f t="shared" si="0"/>
        <v>3</v>
      </c>
    </row>
    <row r="32" spans="1:6" x14ac:dyDescent="0.2">
      <c r="A32" s="218" t="s">
        <v>491</v>
      </c>
      <c r="B32" s="226" t="s">
        <v>491</v>
      </c>
      <c r="C32" s="226" t="s">
        <v>491</v>
      </c>
      <c r="D32" s="226" t="s">
        <v>491</v>
      </c>
      <c r="E32" s="226" t="s">
        <v>491</v>
      </c>
      <c r="F32" s="231">
        <f t="shared" si="0"/>
        <v>4</v>
      </c>
    </row>
    <row r="33" spans="1:6" x14ac:dyDescent="0.2">
      <c r="A33" s="218" t="s">
        <v>491</v>
      </c>
      <c r="B33" s="226" t="s">
        <v>491</v>
      </c>
      <c r="C33" s="226" t="s">
        <v>491</v>
      </c>
      <c r="D33" s="226" t="s">
        <v>491</v>
      </c>
      <c r="E33" s="226" t="s">
        <v>491</v>
      </c>
      <c r="F33" s="231">
        <f t="shared" si="0"/>
        <v>5</v>
      </c>
    </row>
    <row r="34" spans="1:6" s="30" customFormat="1" x14ac:dyDescent="0.2">
      <c r="A34" s="218" t="s">
        <v>491</v>
      </c>
      <c r="B34" s="226" t="s">
        <v>491</v>
      </c>
      <c r="C34" s="226" t="s">
        <v>491</v>
      </c>
      <c r="D34" s="226" t="s">
        <v>491</v>
      </c>
      <c r="E34" s="226" t="s">
        <v>491</v>
      </c>
      <c r="F34" s="231">
        <f t="shared" si="0"/>
        <v>6</v>
      </c>
    </row>
    <row r="35" spans="1:6" x14ac:dyDescent="0.2">
      <c r="A35" s="218" t="s">
        <v>491</v>
      </c>
      <c r="B35" s="226" t="s">
        <v>491</v>
      </c>
      <c r="C35" s="226" t="s">
        <v>491</v>
      </c>
      <c r="D35" s="226" t="s">
        <v>491</v>
      </c>
      <c r="E35" s="226" t="s">
        <v>491</v>
      </c>
      <c r="F35" s="231">
        <f t="shared" si="0"/>
        <v>7</v>
      </c>
    </row>
    <row r="36" spans="1:6" x14ac:dyDescent="0.2">
      <c r="A36" s="218" t="s">
        <v>491</v>
      </c>
      <c r="B36" s="226" t="s">
        <v>491</v>
      </c>
      <c r="C36" s="226" t="s">
        <v>491</v>
      </c>
      <c r="D36" s="226" t="s">
        <v>491</v>
      </c>
      <c r="E36" s="226" t="s">
        <v>491</v>
      </c>
      <c r="F36" s="231">
        <f t="shared" si="0"/>
        <v>8</v>
      </c>
    </row>
    <row r="37" spans="1:6" s="30" customFormat="1" x14ac:dyDescent="0.2">
      <c r="A37" s="218" t="s">
        <v>491</v>
      </c>
      <c r="B37" s="226" t="s">
        <v>491</v>
      </c>
      <c r="C37" s="226" t="s">
        <v>491</v>
      </c>
      <c r="D37" s="226" t="s">
        <v>491</v>
      </c>
      <c r="E37" s="226" t="s">
        <v>491</v>
      </c>
      <c r="F37" s="231">
        <f t="shared" si="0"/>
        <v>9</v>
      </c>
    </row>
    <row r="38" spans="1:6" x14ac:dyDescent="0.2">
      <c r="A38" s="218" t="s">
        <v>491</v>
      </c>
      <c r="B38" s="226" t="s">
        <v>491</v>
      </c>
      <c r="C38" s="226" t="s">
        <v>491</v>
      </c>
      <c r="D38" s="226" t="s">
        <v>491</v>
      </c>
      <c r="E38" s="226" t="s">
        <v>491</v>
      </c>
      <c r="F38" s="231">
        <f t="shared" si="0"/>
        <v>10</v>
      </c>
    </row>
    <row r="39" spans="1:6" x14ac:dyDescent="0.2">
      <c r="A39" s="218" t="s">
        <v>491</v>
      </c>
      <c r="B39" s="226" t="s">
        <v>491</v>
      </c>
      <c r="C39" s="226" t="s">
        <v>491</v>
      </c>
      <c r="D39" s="226" t="s">
        <v>491</v>
      </c>
      <c r="E39" s="226" t="s">
        <v>491</v>
      </c>
      <c r="F39" s="231">
        <f t="shared" si="0"/>
        <v>11</v>
      </c>
    </row>
    <row r="40" spans="1:6" ht="13.15" customHeight="1" x14ac:dyDescent="0.2">
      <c r="A40" s="218" t="s">
        <v>491</v>
      </c>
      <c r="B40" s="226" t="s">
        <v>491</v>
      </c>
      <c r="C40" s="226" t="s">
        <v>491</v>
      </c>
      <c r="D40" s="226" t="s">
        <v>491</v>
      </c>
      <c r="E40" s="226" t="s">
        <v>491</v>
      </c>
      <c r="F40" s="231">
        <f t="shared" si="0"/>
        <v>12</v>
      </c>
    </row>
    <row r="41" spans="1:6" x14ac:dyDescent="0.2">
      <c r="A41" s="218" t="s">
        <v>491</v>
      </c>
      <c r="B41" s="226" t="s">
        <v>491</v>
      </c>
      <c r="C41" s="226" t="s">
        <v>491</v>
      </c>
      <c r="D41" s="226" t="s">
        <v>491</v>
      </c>
      <c r="E41" s="226" t="s">
        <v>491</v>
      </c>
      <c r="F41" s="231">
        <f t="shared" si="0"/>
        <v>13</v>
      </c>
    </row>
    <row r="42" spans="1:6" x14ac:dyDescent="0.2">
      <c r="A42" s="218" t="s">
        <v>491</v>
      </c>
      <c r="B42" s="226" t="s">
        <v>491</v>
      </c>
      <c r="C42" s="226" t="s">
        <v>491</v>
      </c>
      <c r="D42" s="226" t="s">
        <v>491</v>
      </c>
      <c r="E42" s="226" t="s">
        <v>491</v>
      </c>
      <c r="F42" s="231">
        <f t="shared" si="0"/>
        <v>14</v>
      </c>
    </row>
    <row r="43" spans="1:6" x14ac:dyDescent="0.2">
      <c r="A43" s="218" t="s">
        <v>491</v>
      </c>
      <c r="B43" s="226" t="s">
        <v>491</v>
      </c>
      <c r="C43" s="226" t="s">
        <v>491</v>
      </c>
      <c r="D43" s="226" t="s">
        <v>491</v>
      </c>
      <c r="E43" s="226" t="s">
        <v>491</v>
      </c>
      <c r="F43" s="231">
        <f t="shared" si="0"/>
        <v>15</v>
      </c>
    </row>
    <row r="44" spans="1:6" x14ac:dyDescent="0.2">
      <c r="A44" s="218" t="s">
        <v>491</v>
      </c>
      <c r="B44" s="226" t="s">
        <v>491</v>
      </c>
      <c r="C44" s="226" t="s">
        <v>491</v>
      </c>
      <c r="D44" s="226" t="s">
        <v>491</v>
      </c>
      <c r="E44" s="226" t="s">
        <v>491</v>
      </c>
      <c r="F44" s="231">
        <f t="shared" si="0"/>
        <v>16</v>
      </c>
    </row>
    <row r="45" spans="1:6" ht="15" customHeight="1" x14ac:dyDescent="0.2">
      <c r="A45" s="218" t="s">
        <v>491</v>
      </c>
      <c r="B45" s="226" t="s">
        <v>491</v>
      </c>
      <c r="C45" s="226" t="s">
        <v>491</v>
      </c>
      <c r="D45" s="226" t="s">
        <v>491</v>
      </c>
      <c r="E45" s="226" t="s">
        <v>491</v>
      </c>
      <c r="F45" s="231">
        <f t="shared" si="0"/>
        <v>17</v>
      </c>
    </row>
    <row r="46" spans="1:6" x14ac:dyDescent="0.2">
      <c r="A46" s="218" t="s">
        <v>491</v>
      </c>
      <c r="B46" s="226" t="s">
        <v>491</v>
      </c>
      <c r="C46" s="226" t="s">
        <v>491</v>
      </c>
      <c r="D46" s="226" t="s">
        <v>491</v>
      </c>
      <c r="E46" s="226" t="s">
        <v>491</v>
      </c>
      <c r="F46" s="231">
        <f t="shared" si="0"/>
        <v>18</v>
      </c>
    </row>
    <row r="47" spans="1:6" x14ac:dyDescent="0.2">
      <c r="A47" s="218" t="s">
        <v>491</v>
      </c>
      <c r="B47" s="226" t="s">
        <v>491</v>
      </c>
      <c r="C47" s="226" t="s">
        <v>491</v>
      </c>
      <c r="D47" s="226" t="s">
        <v>491</v>
      </c>
      <c r="E47" s="226" t="s">
        <v>491</v>
      </c>
      <c r="F47" s="231">
        <f t="shared" si="0"/>
        <v>19</v>
      </c>
    </row>
    <row r="48" spans="1:6" x14ac:dyDescent="0.2">
      <c r="A48" s="218" t="s">
        <v>491</v>
      </c>
      <c r="B48" s="226" t="s">
        <v>491</v>
      </c>
      <c r="C48" s="226" t="s">
        <v>491</v>
      </c>
      <c r="D48" s="226" t="s">
        <v>491</v>
      </c>
      <c r="E48" s="226" t="s">
        <v>491</v>
      </c>
      <c r="F48" s="231">
        <f t="shared" si="0"/>
        <v>20</v>
      </c>
    </row>
    <row r="49" spans="1:17" x14ac:dyDescent="0.2">
      <c r="A49" s="218" t="s">
        <v>491</v>
      </c>
      <c r="B49" s="226" t="s">
        <v>491</v>
      </c>
      <c r="C49" s="226" t="s">
        <v>491</v>
      </c>
      <c r="D49" s="226" t="s">
        <v>491</v>
      </c>
      <c r="E49" s="226" t="s">
        <v>491</v>
      </c>
      <c r="F49" s="231">
        <f t="shared" si="0"/>
        <v>21</v>
      </c>
    </row>
    <row r="50" spans="1:17" x14ac:dyDescent="0.2">
      <c r="A50" s="218" t="s">
        <v>491</v>
      </c>
      <c r="B50" s="226" t="s">
        <v>491</v>
      </c>
      <c r="C50" s="226" t="s">
        <v>491</v>
      </c>
      <c r="D50" s="226" t="s">
        <v>491</v>
      </c>
      <c r="E50" s="226" t="s">
        <v>491</v>
      </c>
      <c r="F50" s="231">
        <f t="shared" si="0"/>
        <v>22</v>
      </c>
    </row>
    <row r="51" spans="1:17" x14ac:dyDescent="0.2">
      <c r="A51" s="218" t="s">
        <v>491</v>
      </c>
      <c r="B51" s="226" t="s">
        <v>491</v>
      </c>
      <c r="C51" s="226" t="s">
        <v>491</v>
      </c>
      <c r="D51" s="226" t="s">
        <v>491</v>
      </c>
      <c r="E51" s="226" t="s">
        <v>491</v>
      </c>
      <c r="F51" s="231">
        <f t="shared" si="0"/>
        <v>23</v>
      </c>
    </row>
    <row r="52" spans="1:17" x14ac:dyDescent="0.2">
      <c r="A52" s="218" t="s">
        <v>491</v>
      </c>
      <c r="B52" s="226" t="s">
        <v>491</v>
      </c>
      <c r="C52" s="226" t="s">
        <v>491</v>
      </c>
      <c r="D52" s="226" t="s">
        <v>491</v>
      </c>
      <c r="E52" s="226" t="s">
        <v>491</v>
      </c>
      <c r="F52" s="231">
        <f t="shared" si="0"/>
        <v>24</v>
      </c>
    </row>
    <row r="53" spans="1:17" ht="13.5" thickBot="1" x14ac:dyDescent="0.25">
      <c r="A53" s="218" t="s">
        <v>491</v>
      </c>
      <c r="B53" s="226" t="s">
        <v>491</v>
      </c>
      <c r="C53" s="226" t="s">
        <v>491</v>
      </c>
      <c r="D53" s="226" t="s">
        <v>491</v>
      </c>
      <c r="E53" s="226" t="s">
        <v>491</v>
      </c>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v>0</v>
      </c>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v>0</v>
      </c>
      <c r="D60" s="5"/>
      <c r="E60" s="31"/>
      <c r="F60" s="216"/>
      <c r="G60" s="31"/>
      <c r="H60" s="31"/>
      <c r="I60" s="31"/>
      <c r="J60" s="31"/>
      <c r="K60" s="31"/>
      <c r="L60" s="31"/>
      <c r="M60" s="31"/>
      <c r="N60" s="31"/>
      <c r="O60" s="31"/>
      <c r="P60" s="31"/>
      <c r="Q60" s="31"/>
    </row>
    <row r="61" spans="1:17" x14ac:dyDescent="0.2">
      <c r="A61" s="689" t="s">
        <v>160</v>
      </c>
      <c r="B61" s="690"/>
      <c r="C61" s="34">
        <v>0</v>
      </c>
      <c r="E61" s="31"/>
      <c r="F61" s="217"/>
      <c r="G61" s="31"/>
      <c r="H61" s="31"/>
      <c r="I61" s="31"/>
      <c r="J61" s="31"/>
      <c r="K61" s="31"/>
      <c r="L61" s="31"/>
      <c r="M61" s="31"/>
      <c r="N61" s="31"/>
      <c r="O61" s="31"/>
      <c r="P61" s="31"/>
      <c r="Q61" s="31"/>
    </row>
    <row r="62" spans="1:17" x14ac:dyDescent="0.2">
      <c r="A62" s="15" t="s">
        <v>149</v>
      </c>
      <c r="B62" s="613"/>
      <c r="C62" s="38">
        <v>0</v>
      </c>
      <c r="E62" s="31"/>
      <c r="F62" s="217"/>
      <c r="G62" s="31"/>
      <c r="H62" s="31"/>
      <c r="I62" s="31"/>
      <c r="J62" s="31"/>
      <c r="K62" s="31"/>
      <c r="L62" s="31"/>
      <c r="M62" s="31"/>
      <c r="N62" s="31"/>
      <c r="O62" s="31"/>
      <c r="P62" s="31"/>
      <c r="Q62" s="31"/>
    </row>
    <row r="63" spans="1:17" x14ac:dyDescent="0.2">
      <c r="A63" s="17" t="s">
        <v>316</v>
      </c>
      <c r="B63" s="613"/>
      <c r="C63" s="38">
        <v>0</v>
      </c>
      <c r="E63" s="31"/>
      <c r="F63" s="217"/>
      <c r="G63" s="31"/>
      <c r="H63" s="31"/>
      <c r="I63" s="31"/>
      <c r="J63" s="31"/>
      <c r="K63" s="31"/>
      <c r="L63" s="31"/>
      <c r="M63" s="31"/>
      <c r="N63" s="31"/>
      <c r="O63" s="31"/>
      <c r="P63" s="31"/>
      <c r="Q63" s="31"/>
    </row>
    <row r="64" spans="1:17" x14ac:dyDescent="0.2">
      <c r="A64" s="15" t="s">
        <v>315</v>
      </c>
      <c r="B64" s="613"/>
      <c r="C64" s="38">
        <v>0</v>
      </c>
      <c r="E64" s="31"/>
      <c r="F64" s="217"/>
      <c r="G64" s="31"/>
      <c r="H64" s="31"/>
      <c r="I64" s="31"/>
      <c r="J64" s="31"/>
      <c r="K64" s="31"/>
      <c r="L64" s="31"/>
      <c r="M64" s="31"/>
      <c r="N64" s="31"/>
      <c r="O64" s="31"/>
      <c r="P64" s="31"/>
      <c r="Q64" s="31"/>
    </row>
    <row r="65" spans="1:17" x14ac:dyDescent="0.2">
      <c r="A65" s="693" t="s">
        <v>308</v>
      </c>
      <c r="B65" s="694"/>
      <c r="C65" s="35">
        <v>0</v>
      </c>
      <c r="E65" s="31"/>
      <c r="F65" s="217"/>
      <c r="G65" s="31"/>
      <c r="H65" s="31"/>
      <c r="I65" s="31"/>
      <c r="J65" s="31"/>
      <c r="K65" s="31"/>
      <c r="L65" s="31"/>
      <c r="M65" s="31"/>
      <c r="N65" s="31"/>
      <c r="O65" s="31"/>
      <c r="P65" s="31"/>
      <c r="Q65" s="31"/>
    </row>
    <row r="66" spans="1:17" x14ac:dyDescent="0.2">
      <c r="A66" s="612" t="s">
        <v>306</v>
      </c>
      <c r="B66" s="613"/>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v>0</v>
      </c>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612" t="s">
        <v>164</v>
      </c>
      <c r="B70" s="613"/>
      <c r="C70" s="40" t="e">
        <f ca="1">(C67+C68)*C20+C61*(C20-C65)</f>
        <v>#N/A</v>
      </c>
      <c r="E70" s="31"/>
      <c r="F70" s="217"/>
      <c r="G70" s="31"/>
      <c r="H70" s="31"/>
      <c r="I70" s="31"/>
      <c r="J70" s="31"/>
      <c r="K70" s="31"/>
      <c r="L70" s="31"/>
      <c r="M70" s="31"/>
      <c r="N70" s="31"/>
      <c r="O70" s="31"/>
      <c r="P70" s="31"/>
      <c r="Q70" s="31"/>
    </row>
    <row r="71" spans="1:17" x14ac:dyDescent="0.2">
      <c r="A71" s="612" t="s">
        <v>165</v>
      </c>
      <c r="B71" s="613"/>
      <c r="C71" s="41" t="e">
        <f ca="1">(C67+C68)/C15</f>
        <v>#N/A</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v>0</v>
      </c>
      <c r="E73" s="46"/>
    </row>
    <row r="74" spans="1:17" x14ac:dyDescent="0.2">
      <c r="A74" s="695" t="s">
        <v>153</v>
      </c>
      <c r="B74" s="696"/>
      <c r="C74" s="38">
        <v>0</v>
      </c>
      <c r="E74" s="46"/>
    </row>
    <row r="75" spans="1:17" x14ac:dyDescent="0.2">
      <c r="A75" s="695" t="s">
        <v>154</v>
      </c>
      <c r="B75" s="696"/>
      <c r="C75" s="38">
        <v>0</v>
      </c>
      <c r="E75" s="46"/>
    </row>
    <row r="76" spans="1:17" x14ac:dyDescent="0.2">
      <c r="A76" s="689" t="s">
        <v>166</v>
      </c>
      <c r="B76" s="690"/>
      <c r="C76" s="35">
        <v>0</v>
      </c>
    </row>
    <row r="77" spans="1:17" x14ac:dyDescent="0.2">
      <c r="A77" s="689" t="s">
        <v>167</v>
      </c>
      <c r="B77" s="690"/>
      <c r="C77" s="36">
        <f>ROUND(IF(C73=0,0,C21-C73),0)</f>
        <v>0</v>
      </c>
      <c r="D77" s="46"/>
    </row>
    <row r="78" spans="1:17" x14ac:dyDescent="0.2">
      <c r="A78" s="689" t="s">
        <v>168</v>
      </c>
      <c r="B78" s="690"/>
      <c r="C78" s="47">
        <v>0</v>
      </c>
    </row>
    <row r="79" spans="1:17" x14ac:dyDescent="0.2">
      <c r="A79" s="689" t="s">
        <v>169</v>
      </c>
      <c r="B79" s="690"/>
      <c r="C79" s="39">
        <f>C73*C76</f>
        <v>0</v>
      </c>
    </row>
    <row r="80" spans="1:17" x14ac:dyDescent="0.2">
      <c r="A80" s="610" t="s">
        <v>170</v>
      </c>
      <c r="B80" s="611"/>
      <c r="C80" s="40" t="e">
        <f ca="1">(C77+C78)*C25+C73*(C25-C76)</f>
        <v>#N/A</v>
      </c>
    </row>
    <row r="81" spans="1:3" x14ac:dyDescent="0.2">
      <c r="A81" s="689" t="s">
        <v>171</v>
      </c>
      <c r="B81" s="690"/>
      <c r="C81" s="41" t="e">
        <f ca="1">(C77+C78)/C21</f>
        <v>#N/A</v>
      </c>
    </row>
    <row r="82" spans="1:3" x14ac:dyDescent="0.2">
      <c r="A82" s="42"/>
      <c r="B82" s="43"/>
      <c r="C82" s="44"/>
    </row>
    <row r="83" spans="1:3" x14ac:dyDescent="0.2">
      <c r="A83" s="689" t="s">
        <v>172</v>
      </c>
      <c r="B83" s="690"/>
      <c r="C83" s="48">
        <v>0</v>
      </c>
    </row>
    <row r="84" spans="1:3" ht="15" x14ac:dyDescent="0.3">
      <c r="A84" s="689" t="s">
        <v>173</v>
      </c>
      <c r="B84" s="690"/>
      <c r="C84" s="232" t="e">
        <f ca="1">B26-C83</f>
        <v>#N/A</v>
      </c>
    </row>
    <row r="85" spans="1:3" ht="13.5" thickBot="1" x14ac:dyDescent="0.25">
      <c r="A85" s="193" t="s">
        <v>174</v>
      </c>
      <c r="B85" s="194"/>
      <c r="C85" s="233" t="e">
        <f ca="1">IF(B26&gt;0,C84/B26,0)</f>
        <v>#N/A</v>
      </c>
    </row>
    <row r="86" spans="1:3" ht="13.5" thickBot="1" x14ac:dyDescent="0.25">
      <c r="C86" s="30"/>
    </row>
    <row r="87" spans="1:3" ht="13.5" thickBot="1" x14ac:dyDescent="0.25">
      <c r="A87" s="697" t="s">
        <v>175</v>
      </c>
      <c r="B87" s="698"/>
      <c r="C87" s="49" t="e">
        <f ca="1">C70+C80+C84</f>
        <v>#N/A</v>
      </c>
    </row>
    <row r="88" spans="1:3" ht="13.5" thickBot="1" x14ac:dyDescent="0.25">
      <c r="A88" s="699" t="s">
        <v>9</v>
      </c>
      <c r="B88" s="700"/>
      <c r="C88" s="50" t="e">
        <f ca="1">C107</f>
        <v>#N/A</v>
      </c>
    </row>
    <row r="90" spans="1:3" x14ac:dyDescent="0.2">
      <c r="A90" s="701" t="s">
        <v>8</v>
      </c>
      <c r="B90" s="701"/>
      <c r="C90" s="701"/>
    </row>
    <row r="91" spans="1:3" x14ac:dyDescent="0.2">
      <c r="A91" s="609" t="s">
        <v>7</v>
      </c>
      <c r="B91" s="609" t="s">
        <v>6</v>
      </c>
      <c r="C91" s="609" t="s">
        <v>5</v>
      </c>
    </row>
    <row r="92" spans="1:3" x14ac:dyDescent="0.2">
      <c r="A92" s="51">
        <v>1</v>
      </c>
      <c r="B92" s="52" t="e">
        <f ca="1">$C$87</f>
        <v>#N/A</v>
      </c>
      <c r="C92" s="53" t="e">
        <f t="shared" ref="C92:C106" ca="1" si="1">B92/(1+$B$109)^A92</f>
        <v>#N/A</v>
      </c>
    </row>
    <row r="93" spans="1:3" x14ac:dyDescent="0.2">
      <c r="A93" s="51">
        <v>2</v>
      </c>
      <c r="B93" s="52" t="e">
        <f t="shared" ref="B93:B106" ca="1" si="2">$C$87</f>
        <v>#N/A</v>
      </c>
      <c r="C93" s="53" t="e">
        <f t="shared" ca="1" si="1"/>
        <v>#N/A</v>
      </c>
    </row>
    <row r="94" spans="1:3" x14ac:dyDescent="0.2">
      <c r="A94" s="51">
        <v>3</v>
      </c>
      <c r="B94" s="52" t="e">
        <f t="shared" ca="1" si="2"/>
        <v>#N/A</v>
      </c>
      <c r="C94" s="53" t="e">
        <f t="shared" ca="1" si="1"/>
        <v>#N/A</v>
      </c>
    </row>
    <row r="95" spans="1:3" x14ac:dyDescent="0.2">
      <c r="A95" s="51">
        <v>4</v>
      </c>
      <c r="B95" s="52" t="e">
        <f t="shared" ca="1" si="2"/>
        <v>#N/A</v>
      </c>
      <c r="C95" s="53" t="e">
        <f t="shared" ca="1" si="1"/>
        <v>#N/A</v>
      </c>
    </row>
    <row r="96" spans="1:3" x14ac:dyDescent="0.2">
      <c r="A96" s="51">
        <v>5</v>
      </c>
      <c r="B96" s="52" t="e">
        <f t="shared" ca="1" si="2"/>
        <v>#N/A</v>
      </c>
      <c r="C96" s="53" t="e">
        <f t="shared" ca="1" si="1"/>
        <v>#N/A</v>
      </c>
    </row>
    <row r="97" spans="1:17" x14ac:dyDescent="0.2">
      <c r="A97" s="51">
        <v>6</v>
      </c>
      <c r="B97" s="52" t="e">
        <f t="shared" ca="1" si="2"/>
        <v>#N/A</v>
      </c>
      <c r="C97" s="53" t="e">
        <f t="shared" ca="1" si="1"/>
        <v>#N/A</v>
      </c>
    </row>
    <row r="98" spans="1:17" x14ac:dyDescent="0.2">
      <c r="A98" s="51">
        <v>7</v>
      </c>
      <c r="B98" s="52" t="e">
        <f t="shared" ca="1" si="2"/>
        <v>#N/A</v>
      </c>
      <c r="C98" s="53" t="e">
        <f t="shared" ca="1" si="1"/>
        <v>#N/A</v>
      </c>
    </row>
    <row r="99" spans="1:17" x14ac:dyDescent="0.2">
      <c r="A99" s="51">
        <v>8</v>
      </c>
      <c r="B99" s="52" t="e">
        <f t="shared" ca="1" si="2"/>
        <v>#N/A</v>
      </c>
      <c r="C99" s="53" t="e">
        <f t="shared" ca="1" si="1"/>
        <v>#N/A</v>
      </c>
    </row>
    <row r="100" spans="1:17" x14ac:dyDescent="0.2">
      <c r="A100" s="51">
        <v>9</v>
      </c>
      <c r="B100" s="52" t="e">
        <f t="shared" ca="1" si="2"/>
        <v>#N/A</v>
      </c>
      <c r="C100" s="53" t="e">
        <f t="shared" ca="1" si="1"/>
        <v>#N/A</v>
      </c>
    </row>
    <row r="101" spans="1:17" x14ac:dyDescent="0.2">
      <c r="A101" s="51">
        <v>10</v>
      </c>
      <c r="B101" s="52" t="e">
        <f t="shared" ca="1" si="2"/>
        <v>#N/A</v>
      </c>
      <c r="C101" s="53" t="e">
        <f t="shared" ca="1" si="1"/>
        <v>#N/A</v>
      </c>
    </row>
    <row r="102" spans="1:17" s="30" customFormat="1" x14ac:dyDescent="0.2">
      <c r="A102" s="51">
        <v>11</v>
      </c>
      <c r="B102" s="52" t="e">
        <f t="shared" ca="1" si="2"/>
        <v>#N/A</v>
      </c>
      <c r="C102" s="53" t="e">
        <f t="shared" ca="1" si="1"/>
        <v>#N/A</v>
      </c>
      <c r="D102" s="1"/>
      <c r="E102" s="1"/>
      <c r="G102" s="1"/>
      <c r="H102" s="1"/>
      <c r="I102" s="1"/>
      <c r="J102" s="1"/>
      <c r="K102" s="1"/>
      <c r="L102" s="1"/>
      <c r="M102" s="1"/>
      <c r="N102" s="1"/>
      <c r="O102" s="1"/>
      <c r="P102" s="1"/>
      <c r="Q102" s="1"/>
    </row>
    <row r="103" spans="1:17" s="30" customFormat="1" x14ac:dyDescent="0.2">
      <c r="A103" s="51">
        <v>12</v>
      </c>
      <c r="B103" s="52" t="e">
        <f t="shared" ca="1" si="2"/>
        <v>#N/A</v>
      </c>
      <c r="C103" s="53" t="e">
        <f t="shared" ca="1" si="1"/>
        <v>#N/A</v>
      </c>
      <c r="D103" s="1"/>
      <c r="E103" s="1"/>
      <c r="G103" s="1"/>
      <c r="H103" s="1"/>
      <c r="I103" s="1"/>
      <c r="J103" s="1"/>
      <c r="K103" s="1"/>
      <c r="L103" s="1"/>
      <c r="M103" s="1"/>
      <c r="N103" s="1"/>
      <c r="O103" s="1"/>
      <c r="P103" s="1"/>
      <c r="Q103" s="1"/>
    </row>
    <row r="104" spans="1:17" s="30" customFormat="1" x14ac:dyDescent="0.2">
      <c r="A104" s="51">
        <v>13</v>
      </c>
      <c r="B104" s="52" t="e">
        <f t="shared" ca="1" si="2"/>
        <v>#N/A</v>
      </c>
      <c r="C104" s="53" t="e">
        <f t="shared" ca="1" si="1"/>
        <v>#N/A</v>
      </c>
      <c r="D104" s="1"/>
      <c r="E104" s="1"/>
      <c r="G104" s="1"/>
      <c r="H104" s="1"/>
      <c r="I104" s="1"/>
      <c r="J104" s="1"/>
      <c r="K104" s="1"/>
      <c r="L104" s="1"/>
      <c r="M104" s="1"/>
      <c r="N104" s="1"/>
      <c r="O104" s="1"/>
      <c r="P104" s="1"/>
      <c r="Q104" s="1"/>
    </row>
    <row r="105" spans="1:17" s="30" customFormat="1" x14ac:dyDescent="0.2">
      <c r="A105" s="51">
        <v>14</v>
      </c>
      <c r="B105" s="52" t="e">
        <f t="shared" ca="1" si="2"/>
        <v>#N/A</v>
      </c>
      <c r="C105" s="53" t="e">
        <f t="shared" ca="1" si="1"/>
        <v>#N/A</v>
      </c>
      <c r="D105" s="1"/>
      <c r="E105" s="1"/>
      <c r="G105" s="1"/>
      <c r="H105" s="1"/>
      <c r="I105" s="1"/>
      <c r="J105" s="1"/>
      <c r="K105" s="1"/>
      <c r="L105" s="1"/>
      <c r="M105" s="1"/>
      <c r="N105" s="1"/>
      <c r="O105" s="1"/>
      <c r="P105" s="1"/>
      <c r="Q105" s="1"/>
    </row>
    <row r="106" spans="1:17" s="30" customFormat="1" x14ac:dyDescent="0.2">
      <c r="A106" s="51">
        <v>15</v>
      </c>
      <c r="B106" s="52" t="e">
        <f t="shared" ca="1" si="2"/>
        <v>#N/A</v>
      </c>
      <c r="C106" s="53" t="e">
        <f t="shared" ca="1" si="1"/>
        <v>#N/A</v>
      </c>
      <c r="D106" s="1"/>
      <c r="E106" s="1"/>
      <c r="G106" s="1"/>
      <c r="H106" s="1"/>
      <c r="I106" s="1"/>
      <c r="J106" s="1"/>
      <c r="K106" s="1"/>
      <c r="L106" s="1"/>
      <c r="M106" s="1"/>
      <c r="N106" s="1"/>
      <c r="O106" s="1"/>
      <c r="P106" s="1"/>
      <c r="Q106" s="1"/>
    </row>
    <row r="107" spans="1:17" s="30" customFormat="1" x14ac:dyDescent="0.2">
      <c r="A107" s="702" t="s">
        <v>4</v>
      </c>
      <c r="B107" s="702"/>
      <c r="C107" s="54" t="e">
        <f ca="1">SUM(C92:C106)</f>
        <v>#N/A</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v>0</v>
      </c>
      <c r="C114" s="59">
        <f t="shared" ref="C114:C119" si="3">B114*$C$61</f>
        <v>0</v>
      </c>
      <c r="D114" s="237">
        <v>0</v>
      </c>
      <c r="E114" s="235" t="s">
        <v>491</v>
      </c>
      <c r="G114" s="1"/>
      <c r="H114" s="1"/>
      <c r="I114" s="1"/>
      <c r="J114" s="1"/>
      <c r="K114" s="1"/>
      <c r="L114" s="1"/>
      <c r="M114" s="1"/>
      <c r="N114" s="1"/>
      <c r="O114" s="1"/>
      <c r="P114" s="1"/>
      <c r="Q114" s="1"/>
    </row>
    <row r="115" spans="1:17" s="30" customFormat="1" x14ac:dyDescent="0.2">
      <c r="A115" s="241" t="s">
        <v>318</v>
      </c>
      <c r="B115" s="234">
        <v>0</v>
      </c>
      <c r="C115" s="59">
        <f t="shared" si="3"/>
        <v>0</v>
      </c>
      <c r="D115" s="237">
        <v>0</v>
      </c>
      <c r="E115" s="235">
        <v>0</v>
      </c>
      <c r="G115" s="1"/>
      <c r="H115" s="1"/>
      <c r="I115" s="1"/>
      <c r="J115" s="1"/>
      <c r="K115" s="1"/>
      <c r="L115" s="1"/>
      <c r="M115" s="1"/>
      <c r="N115" s="1"/>
      <c r="O115" s="1"/>
      <c r="P115" s="1"/>
      <c r="Q115" s="1"/>
    </row>
    <row r="116" spans="1:17" s="30" customFormat="1" x14ac:dyDescent="0.2">
      <c r="A116" s="241" t="s">
        <v>319</v>
      </c>
      <c r="B116" s="234">
        <v>0</v>
      </c>
      <c r="C116" s="59">
        <f t="shared" si="3"/>
        <v>0</v>
      </c>
      <c r="D116" s="237">
        <v>0</v>
      </c>
      <c r="E116" s="235">
        <v>0</v>
      </c>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v>0</v>
      </c>
      <c r="C124" s="61">
        <v>3000</v>
      </c>
    </row>
    <row r="125" spans="1:17" x14ac:dyDescent="0.2">
      <c r="A125" s="58" t="s">
        <v>184</v>
      </c>
      <c r="B125" s="61">
        <v>0</v>
      </c>
      <c r="C125" s="61">
        <v>2500</v>
      </c>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49"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58124-30A8-4693-8619-53D4516B8770}">
  <sheetPr>
    <tabColor rgb="FFFF0000"/>
    <pageSetUpPr fitToPage="1"/>
  </sheetPr>
  <dimension ref="A1:Q125"/>
  <sheetViews>
    <sheetView topLeftCell="A37" workbookViewId="0">
      <selection activeCell="I50" sqref="I50"/>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624"/>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e">
        <f ca="1">INDEX('Referenčne količine'!$C$4:$C$9,MATCH('OB009'!B6,'Referenčne količine'!$B$4:$B$9,0))</f>
        <v>#N/A</v>
      </c>
      <c r="C4" s="675"/>
    </row>
    <row r="5" spans="1:7" x14ac:dyDescent="0.2">
      <c r="A5" s="4" t="s">
        <v>16</v>
      </c>
      <c r="B5" s="676" t="e">
        <f ca="1">INDEX('Referenčne količine'!$D$4:$D$9,MATCH('OB009'!B6,'Referenčne količine'!$B$4:$B$9,0))</f>
        <v>#N/A</v>
      </c>
      <c r="C5" s="677"/>
    </row>
    <row r="6" spans="1:7" x14ac:dyDescent="0.2">
      <c r="A6" s="4" t="s">
        <v>15</v>
      </c>
      <c r="B6" s="676" t="str">
        <f ca="1">RIGHT(CELL("filename",A1),5)</f>
        <v>OB009</v>
      </c>
      <c r="C6" s="677"/>
    </row>
    <row r="7" spans="1:7" x14ac:dyDescent="0.2">
      <c r="A7" s="4" t="s">
        <v>14</v>
      </c>
      <c r="B7" s="678" t="e">
        <f ca="1">INDEX('Referenčne količine'!$G$4:$G$9,MATCH('OB009'!B6,'Referenčne količine'!$B$4:$B$9,0))</f>
        <v>#N/A</v>
      </c>
      <c r="C7" s="679"/>
      <c r="F7" s="625"/>
      <c r="G7" s="5"/>
    </row>
    <row r="8" spans="1:7" x14ac:dyDescent="0.2">
      <c r="A8" s="4" t="s">
        <v>294</v>
      </c>
      <c r="B8" s="680" t="e">
        <f ca="1">INDEX('Referenčne količine'!$P$4:$P$9,MATCH('OB009'!B6,'Referenčne količine'!$B$4:$B$9,0))</f>
        <v>#N/A</v>
      </c>
      <c r="C8" s="681"/>
      <c r="F8" s="625"/>
      <c r="G8" s="5"/>
    </row>
    <row r="9" spans="1:7" x14ac:dyDescent="0.2">
      <c r="A9" s="4" t="s">
        <v>295</v>
      </c>
      <c r="B9" s="680" t="e">
        <f ca="1">INDEX('Referenčne količine'!$W$4:$W$9,MATCH('OB009'!B6,'Referenčne količine'!$B$4:$B$9,0))</f>
        <v>#N/A</v>
      </c>
      <c r="C9" s="681"/>
      <c r="F9" s="625"/>
      <c r="G9" s="5"/>
    </row>
    <row r="10" spans="1:7" ht="13.5" thickBot="1" x14ac:dyDescent="0.25">
      <c r="A10" s="213" t="s">
        <v>296</v>
      </c>
      <c r="B10" s="682" t="e">
        <f ca="1">INDEX('Referenčne količine'!$AD$4:$AD$9,MATCH('OB009'!B6,'Referenčne količine'!$B$4:$B$9,0))</f>
        <v>#N/A</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t="e">
        <f ca="1">INDEX('Referenčne količine'!$AK$4:$AK$9,MATCH('OB009'!$B$6,'Referenčne količine'!$B$4:$B$9,0))</f>
        <v>#N/A</v>
      </c>
      <c r="C14" s="11" t="e">
        <f ca="1">INDEX('Referenčne količine'!$AS$4:$AS$9,MATCH('OB009'!$B$6,'Referenčne količine'!$B$4:$B$9,0))</f>
        <v>#N/A</v>
      </c>
      <c r="E14" s="12"/>
      <c r="F14" s="626"/>
    </row>
    <row r="15" spans="1:7" x14ac:dyDescent="0.2">
      <c r="A15" s="13" t="s">
        <v>148</v>
      </c>
      <c r="B15" s="14" t="e">
        <f ca="1">INDEX('Referenčne količine'!$AM$4:$AM$9,MATCH('OB009'!$B$6,'Referenčne količine'!$B$4:$B$9,0))</f>
        <v>#N/A</v>
      </c>
      <c r="C15" s="14" t="e">
        <f ca="1">INDEX('Referenčne količine'!$AT$4:$AT$9,MATCH('OB009'!$B$6,'Referenčne količine'!$B$4:$B$9,0))</f>
        <v>#N/A</v>
      </c>
      <c r="E15" s="12"/>
      <c r="F15" s="626"/>
    </row>
    <row r="16" spans="1:7" x14ac:dyDescent="0.2">
      <c r="A16" s="15" t="s">
        <v>149</v>
      </c>
      <c r="B16" s="16" t="e">
        <f ca="1">INDEX('Referenčne količine'!$AO$4:$AO$9,MATCH('OB009'!$B$6,'Referenčne količine'!$B$4:$B$9,0))</f>
        <v>#N/A</v>
      </c>
      <c r="C16" s="16" t="e">
        <f ca="1">INDEX('Referenčne količine'!$AW$4:$AW$9,MATCH('OB009'!$B$6,'Referenčne količine'!$B$4:$B$9,0))</f>
        <v>#N/A</v>
      </c>
      <c r="E16" s="5"/>
      <c r="F16" s="625"/>
    </row>
    <row r="17" spans="1:6" x14ac:dyDescent="0.2">
      <c r="A17" s="17" t="s">
        <v>316</v>
      </c>
      <c r="B17" s="16" t="e">
        <f ca="1">INDEX('Referenčne količine'!$AP$4:$AP$9,MATCH('OB009'!$B$6,'Referenčne količine'!$B$4:$B$9,0))</f>
        <v>#N/A</v>
      </c>
      <c r="C17" s="16" t="e">
        <f ca="1">INDEX('Referenčne količine'!$AX$4:$AX$9,MATCH('OB009'!$B$6,'Referenčne količine'!$B$4:$B$9,0))</f>
        <v>#N/A</v>
      </c>
      <c r="E17" s="5"/>
      <c r="F17" s="625"/>
    </row>
    <row r="18" spans="1:6" x14ac:dyDescent="0.2">
      <c r="A18" s="15" t="s">
        <v>315</v>
      </c>
      <c r="B18" s="16" t="e">
        <f ca="1">INDEX('Referenčne količine'!$AQ$4:$AQ$9,MATCH('OB009'!$B$6,'Referenčne količine'!$B$4:$B$9,0))</f>
        <v>#N/A</v>
      </c>
      <c r="C18" s="16" t="e">
        <f ca="1">INDEX('Referenčne količine'!$AY$4:$AY$9,MATCH('OB009'!$B$6,'Referenčne količine'!$B$4:$B$9,0))</f>
        <v>#N/A</v>
      </c>
      <c r="E18" s="12"/>
      <c r="F18" s="626"/>
    </row>
    <row r="19" spans="1:6" x14ac:dyDescent="0.2">
      <c r="A19" s="15" t="s">
        <v>150</v>
      </c>
      <c r="B19" s="18" t="e">
        <f ca="1">INDEX('Referenčne količine'!$AL$4:$AL$9,MATCH('OB009'!$B$6,'Referenčne količine'!$B$4:$B$9,0))</f>
        <v>#N/A</v>
      </c>
      <c r="C19" s="18" t="e">
        <f ca="1">INDEX('Referenčne količine'!$AV$4:$AV$9,MATCH('OB009'!$B$6,'Referenčne količine'!$B$4:$B$9,0))</f>
        <v>#N/A</v>
      </c>
      <c r="E19" s="12"/>
      <c r="F19" s="626"/>
    </row>
    <row r="20" spans="1:6" ht="13.5" thickBot="1" x14ac:dyDescent="0.25">
      <c r="A20" s="19" t="s">
        <v>151</v>
      </c>
      <c r="B20" s="20" t="e">
        <f ca="1">INDEX('Referenčne količine'!$AN$4:$AN$9,MATCH('OB009'!$B$6,'Referenčne količine'!$B$4:$B$9,0))</f>
        <v>#N/A</v>
      </c>
      <c r="C20" s="20" t="e">
        <f ca="1">INDEX('Referenčne količine'!$AN$4:$AN$9,MATCH('OB009'!$B$6,'Referenčne količine'!$B$4:$B$9,0))</f>
        <v>#N/A</v>
      </c>
      <c r="E20" s="12"/>
      <c r="F20" s="626"/>
    </row>
    <row r="21" spans="1:6" x14ac:dyDescent="0.2">
      <c r="A21" s="9" t="s">
        <v>152</v>
      </c>
      <c r="B21" s="10" t="e">
        <f ca="1">INDEX('Referenčne količine'!$AZ$4:$AZ$9,MATCH('OB009'!$B$6,'Referenčne količine'!$B$4:$B$9,0))</f>
        <v>#N/A</v>
      </c>
      <c r="C21" s="10" t="e">
        <f ca="1">INDEX('Referenčne količine'!$BF$4:$BF$9,MATCH('OB009'!$B$6,'Referenčne količine'!$B$4:$B$9,0))</f>
        <v>#N/A</v>
      </c>
      <c r="E21" s="12"/>
      <c r="F21" s="626"/>
    </row>
    <row r="22" spans="1:6" x14ac:dyDescent="0.2">
      <c r="A22" s="21" t="s">
        <v>153</v>
      </c>
      <c r="B22" s="14" t="e">
        <f ca="1">INDEX('Referenčne količine'!$BC$4:$BC$9,MATCH('OB009'!$B$6,'Referenčne količine'!$B$4:$B$9,0))</f>
        <v>#N/A</v>
      </c>
      <c r="C22" s="14" t="e">
        <f ca="1">INDEX('Referenčne količine'!$BH$4:$BH$9,MATCH('OB009'!$B$6,'Referenčne količine'!$B$4:$B$9,0))</f>
        <v>#N/A</v>
      </c>
      <c r="E22" s="12"/>
      <c r="F22" s="626"/>
    </row>
    <row r="23" spans="1:6" x14ac:dyDescent="0.2">
      <c r="A23" s="21" t="s">
        <v>154</v>
      </c>
      <c r="B23" s="14" t="e">
        <f ca="1">INDEX('Referenčne količine'!$BD$4:$BD$9,MATCH('OB009'!$B$6,'Referenčne količine'!$B$4:$B$9,0))</f>
        <v>#N/A</v>
      </c>
      <c r="C23" s="14" t="e">
        <f ca="1">INDEX('Referenčne količine'!$BI$4:$BI$9,MATCH('OB009'!$B$6,'Referenčne količine'!$B$4:$B$9,0))</f>
        <v>#N/A</v>
      </c>
      <c r="E23" s="12"/>
      <c r="F23" s="626"/>
    </row>
    <row r="24" spans="1:6" x14ac:dyDescent="0.2">
      <c r="A24" s="22" t="s">
        <v>155</v>
      </c>
      <c r="B24" s="23" t="e">
        <f ca="1">INDEX('Referenčne količine'!$BA$4:$BA$9,MATCH('OB009'!$B$6,'Referenčne količine'!$B$4:$B$9,0))</f>
        <v>#N/A</v>
      </c>
      <c r="C24" s="24" t="e">
        <f ca="1">INDEX('Referenčne količine'!$BG$4:$BG$9,MATCH('OB009'!$B$6,'Referenčne količine'!$B$4:$B$9,0))</f>
        <v>#N/A</v>
      </c>
      <c r="D24" s="25"/>
      <c r="E24" s="12"/>
      <c r="F24" s="626"/>
    </row>
    <row r="25" spans="1:6" ht="13.5" thickBot="1" x14ac:dyDescent="0.25">
      <c r="A25" s="26" t="s">
        <v>156</v>
      </c>
      <c r="B25" s="62" t="e">
        <f ca="1">INDEX('Referenčne količine'!$BB$4:$BB$9,MATCH('OB009'!$B$6,'Referenčne količine'!$B$4:$B$9,0))</f>
        <v>#N/A</v>
      </c>
      <c r="C25" s="62" t="e">
        <f ca="1">INDEX('Referenčne količine'!$BB$4:$BB$9,MATCH('OB009'!$B$6,'Referenčne količine'!$B$4:$B$9,0))</f>
        <v>#N/A</v>
      </c>
      <c r="E25" s="12"/>
      <c r="F25" s="626"/>
    </row>
    <row r="26" spans="1:6" ht="14.45" customHeight="1" thickBot="1" x14ac:dyDescent="0.25">
      <c r="A26" s="27" t="s">
        <v>157</v>
      </c>
      <c r="B26" s="28" t="e">
        <f ca="1">INDEX('Referenčne količine'!$BK$4:$BK$9,MATCH('OB009'!$B$6,'Referenčne količine'!$B$4:$B$9,0))</f>
        <v>#N/A</v>
      </c>
      <c r="C26" s="29"/>
      <c r="E26" s="12"/>
      <c r="F26" s="626"/>
    </row>
    <row r="27" spans="1:6" ht="13.5" thickBot="1" x14ac:dyDescent="0.25">
      <c r="F27" s="627">
        <f ca="1">VALUE(RIGHT(CELL("filename",A1),2))</f>
        <v>9</v>
      </c>
    </row>
    <row r="28" spans="1:6" ht="25.5" x14ac:dyDescent="0.2">
      <c r="A28" s="219" t="s">
        <v>158</v>
      </c>
      <c r="B28" s="221" t="s">
        <v>299</v>
      </c>
      <c r="C28" s="222" t="s">
        <v>300</v>
      </c>
      <c r="D28" s="221" t="s">
        <v>302</v>
      </c>
      <c r="E28" s="221" t="s">
        <v>301</v>
      </c>
    </row>
    <row r="29" spans="1:6" x14ac:dyDescent="0.2">
      <c r="A29" s="218" t="s">
        <v>491</v>
      </c>
      <c r="B29" s="226" t="s">
        <v>491</v>
      </c>
      <c r="C29" s="226" t="s">
        <v>491</v>
      </c>
      <c r="D29" s="226" t="s">
        <v>491</v>
      </c>
      <c r="E29" s="226" t="s">
        <v>491</v>
      </c>
      <c r="F29" s="628">
        <v>1</v>
      </c>
    </row>
    <row r="30" spans="1:6" ht="13.15" customHeight="1" x14ac:dyDescent="0.2">
      <c r="A30" s="218" t="s">
        <v>491</v>
      </c>
      <c r="B30" s="226" t="s">
        <v>491</v>
      </c>
      <c r="C30" s="226" t="s">
        <v>491</v>
      </c>
      <c r="D30" s="226" t="s">
        <v>491</v>
      </c>
      <c r="E30" s="226" t="s">
        <v>491</v>
      </c>
      <c r="F30" s="628">
        <f t="shared" ref="F30:F53" si="0">F29+1</f>
        <v>2</v>
      </c>
    </row>
    <row r="31" spans="1:6" x14ac:dyDescent="0.2">
      <c r="A31" s="218" t="s">
        <v>491</v>
      </c>
      <c r="B31" s="226" t="s">
        <v>491</v>
      </c>
      <c r="C31" s="226" t="s">
        <v>491</v>
      </c>
      <c r="D31" s="226" t="s">
        <v>491</v>
      </c>
      <c r="E31" s="226" t="s">
        <v>491</v>
      </c>
      <c r="F31" s="628">
        <f t="shared" si="0"/>
        <v>3</v>
      </c>
    </row>
    <row r="32" spans="1:6" x14ac:dyDescent="0.2">
      <c r="A32" s="218" t="s">
        <v>491</v>
      </c>
      <c r="B32" s="226" t="s">
        <v>491</v>
      </c>
      <c r="C32" s="226" t="s">
        <v>491</v>
      </c>
      <c r="D32" s="226" t="s">
        <v>491</v>
      </c>
      <c r="E32" s="226" t="s">
        <v>491</v>
      </c>
      <c r="F32" s="628">
        <f t="shared" si="0"/>
        <v>4</v>
      </c>
    </row>
    <row r="33" spans="1:6" x14ac:dyDescent="0.2">
      <c r="A33" s="218" t="s">
        <v>491</v>
      </c>
      <c r="B33" s="226" t="s">
        <v>491</v>
      </c>
      <c r="C33" s="226" t="s">
        <v>491</v>
      </c>
      <c r="D33" s="226" t="s">
        <v>491</v>
      </c>
      <c r="E33" s="226" t="s">
        <v>491</v>
      </c>
      <c r="F33" s="628">
        <f t="shared" si="0"/>
        <v>5</v>
      </c>
    </row>
    <row r="34" spans="1:6" s="30" customFormat="1" x14ac:dyDescent="0.2">
      <c r="A34" s="218" t="s">
        <v>491</v>
      </c>
      <c r="B34" s="226" t="s">
        <v>491</v>
      </c>
      <c r="C34" s="226" t="s">
        <v>491</v>
      </c>
      <c r="D34" s="226" t="s">
        <v>491</v>
      </c>
      <c r="E34" s="226" t="s">
        <v>491</v>
      </c>
      <c r="F34" s="628">
        <f t="shared" si="0"/>
        <v>6</v>
      </c>
    </row>
    <row r="35" spans="1:6" x14ac:dyDescent="0.2">
      <c r="A35" s="218" t="s">
        <v>491</v>
      </c>
      <c r="B35" s="226" t="s">
        <v>491</v>
      </c>
      <c r="C35" s="226" t="s">
        <v>491</v>
      </c>
      <c r="D35" s="226" t="s">
        <v>491</v>
      </c>
      <c r="E35" s="226" t="s">
        <v>491</v>
      </c>
      <c r="F35" s="628">
        <f t="shared" si="0"/>
        <v>7</v>
      </c>
    </row>
    <row r="36" spans="1:6" x14ac:dyDescent="0.2">
      <c r="A36" s="218" t="s">
        <v>491</v>
      </c>
      <c r="B36" s="226" t="s">
        <v>491</v>
      </c>
      <c r="C36" s="226" t="s">
        <v>491</v>
      </c>
      <c r="D36" s="226" t="s">
        <v>491</v>
      </c>
      <c r="E36" s="226" t="s">
        <v>491</v>
      </c>
      <c r="F36" s="628">
        <f t="shared" si="0"/>
        <v>8</v>
      </c>
    </row>
    <row r="37" spans="1:6" s="30" customFormat="1" x14ac:dyDescent="0.2">
      <c r="A37" s="218" t="s">
        <v>491</v>
      </c>
      <c r="B37" s="226" t="s">
        <v>491</v>
      </c>
      <c r="C37" s="226" t="s">
        <v>491</v>
      </c>
      <c r="D37" s="226" t="s">
        <v>491</v>
      </c>
      <c r="E37" s="226" t="s">
        <v>491</v>
      </c>
      <c r="F37" s="628">
        <f t="shared" si="0"/>
        <v>9</v>
      </c>
    </row>
    <row r="38" spans="1:6" x14ac:dyDescent="0.2">
      <c r="A38" s="218" t="s">
        <v>491</v>
      </c>
      <c r="B38" s="226" t="s">
        <v>491</v>
      </c>
      <c r="C38" s="226" t="s">
        <v>491</v>
      </c>
      <c r="D38" s="226" t="s">
        <v>491</v>
      </c>
      <c r="E38" s="226" t="s">
        <v>491</v>
      </c>
      <c r="F38" s="628">
        <f t="shared" si="0"/>
        <v>10</v>
      </c>
    </row>
    <row r="39" spans="1:6" x14ac:dyDescent="0.2">
      <c r="A39" s="218" t="s">
        <v>491</v>
      </c>
      <c r="B39" s="226" t="s">
        <v>491</v>
      </c>
      <c r="C39" s="226" t="s">
        <v>491</v>
      </c>
      <c r="D39" s="226" t="s">
        <v>491</v>
      </c>
      <c r="E39" s="226" t="s">
        <v>491</v>
      </c>
      <c r="F39" s="628">
        <f t="shared" si="0"/>
        <v>11</v>
      </c>
    </row>
    <row r="40" spans="1:6" ht="13.15" customHeight="1" x14ac:dyDescent="0.2">
      <c r="A40" s="218" t="s">
        <v>491</v>
      </c>
      <c r="B40" s="226" t="s">
        <v>491</v>
      </c>
      <c r="C40" s="226" t="s">
        <v>491</v>
      </c>
      <c r="D40" s="226" t="s">
        <v>491</v>
      </c>
      <c r="E40" s="226" t="s">
        <v>491</v>
      </c>
      <c r="F40" s="628">
        <f t="shared" si="0"/>
        <v>12</v>
      </c>
    </row>
    <row r="41" spans="1:6" x14ac:dyDescent="0.2">
      <c r="A41" s="218" t="s">
        <v>491</v>
      </c>
      <c r="B41" s="226" t="s">
        <v>491</v>
      </c>
      <c r="C41" s="226" t="s">
        <v>491</v>
      </c>
      <c r="D41" s="226" t="s">
        <v>491</v>
      </c>
      <c r="E41" s="226" t="s">
        <v>491</v>
      </c>
      <c r="F41" s="628">
        <f t="shared" si="0"/>
        <v>13</v>
      </c>
    </row>
    <row r="42" spans="1:6" x14ac:dyDescent="0.2">
      <c r="A42" s="218" t="s">
        <v>491</v>
      </c>
      <c r="B42" s="226" t="s">
        <v>491</v>
      </c>
      <c r="C42" s="226" t="s">
        <v>491</v>
      </c>
      <c r="D42" s="226" t="s">
        <v>491</v>
      </c>
      <c r="E42" s="226" t="s">
        <v>491</v>
      </c>
      <c r="F42" s="628">
        <f t="shared" si="0"/>
        <v>14</v>
      </c>
    </row>
    <row r="43" spans="1:6" x14ac:dyDescent="0.2">
      <c r="A43" s="218" t="s">
        <v>491</v>
      </c>
      <c r="B43" s="226" t="s">
        <v>491</v>
      </c>
      <c r="C43" s="226" t="s">
        <v>491</v>
      </c>
      <c r="D43" s="226" t="s">
        <v>491</v>
      </c>
      <c r="E43" s="226" t="s">
        <v>491</v>
      </c>
      <c r="F43" s="628">
        <f t="shared" si="0"/>
        <v>15</v>
      </c>
    </row>
    <row r="44" spans="1:6" x14ac:dyDescent="0.2">
      <c r="A44" s="218" t="s">
        <v>491</v>
      </c>
      <c r="B44" s="226" t="s">
        <v>491</v>
      </c>
      <c r="C44" s="226" t="s">
        <v>491</v>
      </c>
      <c r="D44" s="226" t="s">
        <v>491</v>
      </c>
      <c r="E44" s="226" t="s">
        <v>491</v>
      </c>
      <c r="F44" s="628">
        <f t="shared" si="0"/>
        <v>16</v>
      </c>
    </row>
    <row r="45" spans="1:6" ht="15" customHeight="1" x14ac:dyDescent="0.2">
      <c r="A45" s="218" t="s">
        <v>491</v>
      </c>
      <c r="B45" s="226" t="s">
        <v>491</v>
      </c>
      <c r="C45" s="226" t="s">
        <v>491</v>
      </c>
      <c r="D45" s="226" t="s">
        <v>491</v>
      </c>
      <c r="E45" s="226" t="s">
        <v>491</v>
      </c>
      <c r="F45" s="628">
        <f t="shared" si="0"/>
        <v>17</v>
      </c>
    </row>
    <row r="46" spans="1:6" x14ac:dyDescent="0.2">
      <c r="A46" s="218" t="s">
        <v>491</v>
      </c>
      <c r="B46" s="226" t="s">
        <v>491</v>
      </c>
      <c r="C46" s="226" t="s">
        <v>491</v>
      </c>
      <c r="D46" s="226" t="s">
        <v>491</v>
      </c>
      <c r="E46" s="226" t="s">
        <v>491</v>
      </c>
      <c r="F46" s="628">
        <f t="shared" si="0"/>
        <v>18</v>
      </c>
    </row>
    <row r="47" spans="1:6" x14ac:dyDescent="0.2">
      <c r="A47" s="218" t="s">
        <v>491</v>
      </c>
      <c r="B47" s="226" t="s">
        <v>491</v>
      </c>
      <c r="C47" s="226" t="s">
        <v>491</v>
      </c>
      <c r="D47" s="226" t="s">
        <v>491</v>
      </c>
      <c r="E47" s="226" t="s">
        <v>491</v>
      </c>
      <c r="F47" s="628">
        <f t="shared" si="0"/>
        <v>19</v>
      </c>
    </row>
    <row r="48" spans="1:6" x14ac:dyDescent="0.2">
      <c r="A48" s="218" t="s">
        <v>491</v>
      </c>
      <c r="B48" s="226" t="s">
        <v>491</v>
      </c>
      <c r="C48" s="226" t="s">
        <v>491</v>
      </c>
      <c r="D48" s="226" t="s">
        <v>491</v>
      </c>
      <c r="E48" s="226" t="s">
        <v>491</v>
      </c>
      <c r="F48" s="628">
        <f t="shared" si="0"/>
        <v>20</v>
      </c>
    </row>
    <row r="49" spans="1:17" x14ac:dyDescent="0.2">
      <c r="A49" s="218" t="s">
        <v>491</v>
      </c>
      <c r="B49" s="226" t="s">
        <v>491</v>
      </c>
      <c r="C49" s="226" t="s">
        <v>491</v>
      </c>
      <c r="D49" s="226" t="s">
        <v>491</v>
      </c>
      <c r="E49" s="226" t="s">
        <v>491</v>
      </c>
      <c r="F49" s="628">
        <f t="shared" si="0"/>
        <v>21</v>
      </c>
    </row>
    <row r="50" spans="1:17" x14ac:dyDescent="0.2">
      <c r="A50" s="218" t="s">
        <v>491</v>
      </c>
      <c r="B50" s="226" t="s">
        <v>491</v>
      </c>
      <c r="C50" s="226" t="s">
        <v>491</v>
      </c>
      <c r="D50" s="226" t="s">
        <v>491</v>
      </c>
      <c r="E50" s="226" t="s">
        <v>491</v>
      </c>
      <c r="F50" s="628">
        <f t="shared" si="0"/>
        <v>22</v>
      </c>
    </row>
    <row r="51" spans="1:17" x14ac:dyDescent="0.2">
      <c r="A51" s="218" t="s">
        <v>491</v>
      </c>
      <c r="B51" s="226" t="s">
        <v>491</v>
      </c>
      <c r="C51" s="226" t="s">
        <v>491</v>
      </c>
      <c r="D51" s="226" t="s">
        <v>491</v>
      </c>
      <c r="E51" s="226" t="s">
        <v>491</v>
      </c>
      <c r="F51" s="628">
        <f t="shared" si="0"/>
        <v>23</v>
      </c>
    </row>
    <row r="52" spans="1:17" x14ac:dyDescent="0.2">
      <c r="A52" s="218" t="s">
        <v>491</v>
      </c>
      <c r="B52" s="226" t="s">
        <v>491</v>
      </c>
      <c r="C52" s="226" t="s">
        <v>491</v>
      </c>
      <c r="D52" s="226" t="s">
        <v>491</v>
      </c>
      <c r="E52" s="226" t="s">
        <v>491</v>
      </c>
      <c r="F52" s="628">
        <f t="shared" si="0"/>
        <v>24</v>
      </c>
    </row>
    <row r="53" spans="1:17" ht="13.5" thickBot="1" x14ac:dyDescent="0.25">
      <c r="A53" s="218" t="s">
        <v>491</v>
      </c>
      <c r="B53" s="226" t="s">
        <v>491</v>
      </c>
      <c r="C53" s="226" t="s">
        <v>491</v>
      </c>
      <c r="D53" s="226" t="s">
        <v>491</v>
      </c>
      <c r="E53" s="226" t="s">
        <v>491</v>
      </c>
      <c r="F53" s="628">
        <f t="shared" si="0"/>
        <v>25</v>
      </c>
    </row>
    <row r="54" spans="1:17" ht="15.75" customHeight="1" thickBot="1" x14ac:dyDescent="0.25">
      <c r="A54" s="220" t="s">
        <v>298</v>
      </c>
      <c r="B54" s="227">
        <f>SUM(B29:B53)</f>
        <v>0</v>
      </c>
      <c r="C54" s="228">
        <f>SUM(C29:C53)</f>
        <v>0</v>
      </c>
      <c r="D54" s="227">
        <f>SUM(D29:D53)</f>
        <v>0</v>
      </c>
      <c r="E54" s="228">
        <f>SUM(E29:E53)</f>
        <v>0</v>
      </c>
      <c r="F54" s="628"/>
    </row>
    <row r="55" spans="1:17" ht="13.5" thickBot="1" x14ac:dyDescent="0.25">
      <c r="A55" s="225" t="s">
        <v>303</v>
      </c>
      <c r="B55" s="687">
        <v>0</v>
      </c>
      <c r="C55" s="688"/>
      <c r="F55" s="628"/>
    </row>
    <row r="56" spans="1:17" x14ac:dyDescent="0.2">
      <c r="A56" s="224" t="s">
        <v>159</v>
      </c>
      <c r="B56" s="668">
        <f>B55*0.22</f>
        <v>0</v>
      </c>
      <c r="C56" s="669"/>
      <c r="F56" s="628"/>
    </row>
    <row r="57" spans="1:17" ht="13.5" thickBot="1" x14ac:dyDescent="0.25">
      <c r="A57" s="223" t="s">
        <v>304</v>
      </c>
      <c r="B57" s="691">
        <f>B56+B55</f>
        <v>0</v>
      </c>
      <c r="C57" s="692"/>
      <c r="E57" s="31"/>
      <c r="F57" s="628"/>
      <c r="G57" s="31"/>
      <c r="H57" s="31"/>
      <c r="I57" s="31"/>
      <c r="J57" s="31"/>
      <c r="K57" s="31"/>
      <c r="L57" s="31"/>
      <c r="M57" s="31"/>
      <c r="N57" s="31"/>
      <c r="O57" s="31"/>
      <c r="P57" s="31"/>
      <c r="Q57" s="31"/>
    </row>
    <row r="58" spans="1:17" ht="13.5" thickBot="1" x14ac:dyDescent="0.25">
      <c r="A58" s="32"/>
      <c r="B58" s="32"/>
      <c r="C58" s="33"/>
      <c r="D58" s="5"/>
      <c r="E58" s="31"/>
      <c r="F58" s="628"/>
      <c r="G58" s="31"/>
      <c r="H58" s="31"/>
      <c r="I58" s="31"/>
      <c r="J58" s="31"/>
      <c r="K58" s="31"/>
      <c r="L58" s="31"/>
      <c r="M58" s="31"/>
      <c r="N58" s="31"/>
      <c r="O58" s="31"/>
      <c r="P58" s="31"/>
      <c r="Q58" s="31"/>
    </row>
    <row r="59" spans="1:17" x14ac:dyDescent="0.2">
      <c r="A59" s="671" t="s">
        <v>307</v>
      </c>
      <c r="B59" s="672"/>
      <c r="C59" s="673"/>
      <c r="D59" s="5"/>
      <c r="E59" s="31"/>
      <c r="F59" s="628"/>
      <c r="G59" s="31"/>
      <c r="H59" s="31"/>
      <c r="I59" s="31"/>
      <c r="J59" s="31"/>
      <c r="K59" s="31"/>
      <c r="L59" s="31"/>
      <c r="M59" s="31"/>
      <c r="N59" s="31"/>
      <c r="O59" s="31"/>
      <c r="P59" s="31"/>
      <c r="Q59" s="31"/>
    </row>
    <row r="60" spans="1:17" x14ac:dyDescent="0.2">
      <c r="A60" s="689" t="s">
        <v>305</v>
      </c>
      <c r="B60" s="690"/>
      <c r="C60" s="34">
        <v>0</v>
      </c>
      <c r="D60" s="5"/>
      <c r="E60" s="31"/>
      <c r="F60" s="628"/>
      <c r="G60" s="31"/>
      <c r="H60" s="31"/>
      <c r="I60" s="31"/>
      <c r="J60" s="31"/>
      <c r="K60" s="31"/>
      <c r="L60" s="31"/>
      <c r="M60" s="31"/>
      <c r="N60" s="31"/>
      <c r="O60" s="31"/>
      <c r="P60" s="31"/>
      <c r="Q60" s="31"/>
    </row>
    <row r="61" spans="1:17" x14ac:dyDescent="0.2">
      <c r="A61" s="689" t="s">
        <v>160</v>
      </c>
      <c r="B61" s="690"/>
      <c r="C61" s="34">
        <v>0</v>
      </c>
      <c r="E61" s="31"/>
      <c r="F61" s="629"/>
      <c r="G61" s="31"/>
      <c r="H61" s="31"/>
      <c r="I61" s="31"/>
      <c r="J61" s="31"/>
      <c r="K61" s="31"/>
      <c r="L61" s="31"/>
      <c r="M61" s="31"/>
      <c r="N61" s="31"/>
      <c r="O61" s="31"/>
      <c r="P61" s="31"/>
      <c r="Q61" s="31"/>
    </row>
    <row r="62" spans="1:17" x14ac:dyDescent="0.2">
      <c r="A62" s="15" t="s">
        <v>149</v>
      </c>
      <c r="B62" s="613"/>
      <c r="C62" s="38">
        <v>0</v>
      </c>
      <c r="E62" s="31"/>
      <c r="F62" s="629"/>
      <c r="G62" s="31"/>
      <c r="H62" s="31"/>
      <c r="I62" s="31"/>
      <c r="J62" s="31"/>
      <c r="K62" s="31"/>
      <c r="L62" s="31"/>
      <c r="M62" s="31"/>
      <c r="N62" s="31"/>
      <c r="O62" s="31"/>
      <c r="P62" s="31"/>
      <c r="Q62" s="31"/>
    </row>
    <row r="63" spans="1:17" x14ac:dyDescent="0.2">
      <c r="A63" s="17" t="s">
        <v>316</v>
      </c>
      <c r="B63" s="613"/>
      <c r="C63" s="38">
        <v>0</v>
      </c>
      <c r="E63" s="31"/>
      <c r="F63" s="629"/>
      <c r="G63" s="31"/>
      <c r="H63" s="31"/>
      <c r="I63" s="31"/>
      <c r="J63" s="31"/>
      <c r="K63" s="31"/>
      <c r="L63" s="31"/>
      <c r="M63" s="31"/>
      <c r="N63" s="31"/>
      <c r="O63" s="31"/>
      <c r="P63" s="31"/>
      <c r="Q63" s="31"/>
    </row>
    <row r="64" spans="1:17" x14ac:dyDescent="0.2">
      <c r="A64" s="15" t="s">
        <v>315</v>
      </c>
      <c r="B64" s="613"/>
      <c r="C64" s="38">
        <v>0</v>
      </c>
      <c r="E64" s="31"/>
      <c r="F64" s="629"/>
      <c r="G64" s="31"/>
      <c r="H64" s="31"/>
      <c r="I64" s="31"/>
      <c r="J64" s="31"/>
      <c r="K64" s="31"/>
      <c r="L64" s="31"/>
      <c r="M64" s="31"/>
      <c r="N64" s="31"/>
      <c r="O64" s="31"/>
      <c r="P64" s="31"/>
      <c r="Q64" s="31"/>
    </row>
    <row r="65" spans="1:17" x14ac:dyDescent="0.2">
      <c r="A65" s="693" t="s">
        <v>308</v>
      </c>
      <c r="B65" s="694"/>
      <c r="C65" s="35">
        <v>0</v>
      </c>
      <c r="E65" s="31"/>
      <c r="F65" s="629"/>
      <c r="G65" s="31"/>
      <c r="H65" s="31"/>
      <c r="I65" s="31"/>
      <c r="J65" s="31"/>
      <c r="K65" s="31"/>
      <c r="L65" s="31"/>
      <c r="M65" s="31"/>
      <c r="N65" s="31"/>
      <c r="O65" s="31"/>
      <c r="P65" s="31"/>
      <c r="Q65" s="31"/>
    </row>
    <row r="66" spans="1:17" x14ac:dyDescent="0.2">
      <c r="A66" s="612" t="s">
        <v>306</v>
      </c>
      <c r="B66" s="613"/>
      <c r="C66" s="36">
        <f>ROUND(IF(C60=0, 0,C14- C60),0)</f>
        <v>0</v>
      </c>
      <c r="E66" s="31"/>
      <c r="F66" s="629"/>
      <c r="G66" s="31"/>
      <c r="H66" s="31"/>
      <c r="I66" s="31"/>
      <c r="J66" s="31"/>
      <c r="K66" s="31"/>
      <c r="L66" s="31"/>
      <c r="M66" s="31"/>
      <c r="N66" s="31"/>
      <c r="O66" s="31"/>
      <c r="P66" s="31"/>
      <c r="Q66" s="31"/>
    </row>
    <row r="67" spans="1:17" x14ac:dyDescent="0.2">
      <c r="A67" s="689" t="s">
        <v>161</v>
      </c>
      <c r="B67" s="690"/>
      <c r="C67" s="36">
        <f>ROUND(IF(C61=0, 0,C15- C61),0)</f>
        <v>0</v>
      </c>
      <c r="D67" s="37"/>
      <c r="E67" s="31"/>
      <c r="F67" s="629"/>
      <c r="G67" s="31"/>
      <c r="H67" s="31"/>
      <c r="I67" s="31"/>
      <c r="J67" s="31"/>
      <c r="K67" s="31"/>
      <c r="L67" s="31"/>
      <c r="M67" s="31"/>
      <c r="N67" s="31"/>
      <c r="O67" s="31"/>
      <c r="P67" s="31"/>
      <c r="Q67" s="31"/>
    </row>
    <row r="68" spans="1:17" x14ac:dyDescent="0.2">
      <c r="A68" s="693" t="s">
        <v>162</v>
      </c>
      <c r="B68" s="694"/>
      <c r="C68" s="38">
        <v>0</v>
      </c>
      <c r="D68" s="37"/>
      <c r="E68" s="31"/>
      <c r="F68" s="629"/>
      <c r="G68" s="31"/>
      <c r="H68" s="31"/>
      <c r="I68" s="31"/>
      <c r="J68" s="31"/>
      <c r="K68" s="31"/>
      <c r="L68" s="31"/>
      <c r="M68" s="31"/>
      <c r="N68" s="31"/>
      <c r="O68" s="31"/>
      <c r="P68" s="31"/>
      <c r="Q68" s="31"/>
    </row>
    <row r="69" spans="1:17" x14ac:dyDescent="0.2">
      <c r="A69" s="693" t="s">
        <v>163</v>
      </c>
      <c r="B69" s="694"/>
      <c r="C69" s="40">
        <f>C65*C61</f>
        <v>0</v>
      </c>
      <c r="E69" s="31"/>
      <c r="F69" s="629"/>
      <c r="G69" s="31"/>
      <c r="H69" s="31"/>
      <c r="I69" s="31"/>
      <c r="J69" s="31"/>
      <c r="K69" s="31"/>
      <c r="L69" s="31"/>
      <c r="M69" s="31"/>
      <c r="N69" s="31"/>
      <c r="O69" s="31"/>
      <c r="P69" s="31"/>
      <c r="Q69" s="31"/>
    </row>
    <row r="70" spans="1:17" x14ac:dyDescent="0.2">
      <c r="A70" s="612" t="s">
        <v>164</v>
      </c>
      <c r="B70" s="613"/>
      <c r="C70" s="40" t="e">
        <f ca="1">(C67+C68)*C20+C61*(C20-C65)</f>
        <v>#N/A</v>
      </c>
      <c r="E70" s="31"/>
      <c r="F70" s="629"/>
      <c r="G70" s="31"/>
      <c r="H70" s="31"/>
      <c r="I70" s="31"/>
      <c r="J70" s="31"/>
      <c r="K70" s="31"/>
      <c r="L70" s="31"/>
      <c r="M70" s="31"/>
      <c r="N70" s="31"/>
      <c r="O70" s="31"/>
      <c r="P70" s="31"/>
      <c r="Q70" s="31"/>
    </row>
    <row r="71" spans="1:17" x14ac:dyDescent="0.2">
      <c r="A71" s="612" t="s">
        <v>165</v>
      </c>
      <c r="B71" s="613"/>
      <c r="C71" s="41" t="e">
        <f ca="1">(C67+C68)/C15</f>
        <v>#N/A</v>
      </c>
      <c r="E71" s="31"/>
      <c r="F71" s="629"/>
      <c r="G71" s="31"/>
      <c r="H71" s="31"/>
      <c r="I71" s="31"/>
      <c r="J71" s="31"/>
      <c r="K71" s="31"/>
      <c r="L71" s="31"/>
      <c r="M71" s="31"/>
      <c r="N71" s="31"/>
      <c r="O71" s="31"/>
      <c r="P71" s="31"/>
      <c r="Q71" s="31"/>
    </row>
    <row r="72" spans="1:17" x14ac:dyDescent="0.2">
      <c r="A72" s="42"/>
      <c r="B72" s="43"/>
      <c r="C72" s="44"/>
    </row>
    <row r="73" spans="1:17" x14ac:dyDescent="0.2">
      <c r="A73" s="689" t="s">
        <v>10</v>
      </c>
      <c r="B73" s="690"/>
      <c r="C73" s="45">
        <v>0</v>
      </c>
      <c r="E73" s="46"/>
    </row>
    <row r="74" spans="1:17" x14ac:dyDescent="0.2">
      <c r="A74" s="695" t="s">
        <v>153</v>
      </c>
      <c r="B74" s="696"/>
      <c r="C74" s="38">
        <v>0</v>
      </c>
      <c r="E74" s="46"/>
    </row>
    <row r="75" spans="1:17" x14ac:dyDescent="0.2">
      <c r="A75" s="695" t="s">
        <v>154</v>
      </c>
      <c r="B75" s="696"/>
      <c r="C75" s="38">
        <v>0</v>
      </c>
      <c r="E75" s="46"/>
    </row>
    <row r="76" spans="1:17" x14ac:dyDescent="0.2">
      <c r="A76" s="689" t="s">
        <v>166</v>
      </c>
      <c r="B76" s="690"/>
      <c r="C76" s="35">
        <v>0</v>
      </c>
    </row>
    <row r="77" spans="1:17" x14ac:dyDescent="0.2">
      <c r="A77" s="689" t="s">
        <v>167</v>
      </c>
      <c r="B77" s="690"/>
      <c r="C77" s="36">
        <f>ROUND(IF(C73=0,0,C21-C73),0)</f>
        <v>0</v>
      </c>
      <c r="D77" s="46"/>
    </row>
    <row r="78" spans="1:17" x14ac:dyDescent="0.2">
      <c r="A78" s="689" t="s">
        <v>168</v>
      </c>
      <c r="B78" s="690"/>
      <c r="C78" s="47">
        <v>0</v>
      </c>
    </row>
    <row r="79" spans="1:17" x14ac:dyDescent="0.2">
      <c r="A79" s="689" t="s">
        <v>169</v>
      </c>
      <c r="B79" s="690"/>
      <c r="C79" s="39">
        <f>C73*C76</f>
        <v>0</v>
      </c>
    </row>
    <row r="80" spans="1:17" x14ac:dyDescent="0.2">
      <c r="A80" s="610" t="s">
        <v>170</v>
      </c>
      <c r="B80" s="611"/>
      <c r="C80" s="40" t="e">
        <f ca="1">(C77+C78)*C25+C73*(C25-C76)</f>
        <v>#N/A</v>
      </c>
    </row>
    <row r="81" spans="1:3" x14ac:dyDescent="0.2">
      <c r="A81" s="689" t="s">
        <v>171</v>
      </c>
      <c r="B81" s="690"/>
      <c r="C81" s="41" t="e">
        <f ca="1">(C77+C78)/C21</f>
        <v>#N/A</v>
      </c>
    </row>
    <row r="82" spans="1:3" x14ac:dyDescent="0.2">
      <c r="A82" s="42"/>
      <c r="B82" s="43"/>
      <c r="C82" s="44"/>
    </row>
    <row r="83" spans="1:3" x14ac:dyDescent="0.2">
      <c r="A83" s="689" t="s">
        <v>172</v>
      </c>
      <c r="B83" s="690"/>
      <c r="C83" s="48">
        <v>0</v>
      </c>
    </row>
    <row r="84" spans="1:3" ht="15" x14ac:dyDescent="0.3">
      <c r="A84" s="689" t="s">
        <v>173</v>
      </c>
      <c r="B84" s="690"/>
      <c r="C84" s="232" t="e">
        <f ca="1">B26-C83</f>
        <v>#N/A</v>
      </c>
    </row>
    <row r="85" spans="1:3" ht="13.5" thickBot="1" x14ac:dyDescent="0.25">
      <c r="A85" s="193" t="s">
        <v>174</v>
      </c>
      <c r="B85" s="194"/>
      <c r="C85" s="233" t="e">
        <f ca="1">IF(B26&gt;0,C84/B26,0)</f>
        <v>#N/A</v>
      </c>
    </row>
    <row r="86" spans="1:3" ht="13.5" thickBot="1" x14ac:dyDescent="0.25">
      <c r="C86" s="30"/>
    </row>
    <row r="87" spans="1:3" ht="13.5" thickBot="1" x14ac:dyDescent="0.25">
      <c r="A87" s="697" t="s">
        <v>175</v>
      </c>
      <c r="B87" s="698"/>
      <c r="C87" s="49" t="e">
        <f ca="1">C70+C80+C84</f>
        <v>#N/A</v>
      </c>
    </row>
    <row r="88" spans="1:3" ht="13.5" thickBot="1" x14ac:dyDescent="0.25">
      <c r="A88" s="699" t="s">
        <v>9</v>
      </c>
      <c r="B88" s="700"/>
      <c r="C88" s="50" t="e">
        <f ca="1">C107</f>
        <v>#N/A</v>
      </c>
    </row>
    <row r="90" spans="1:3" x14ac:dyDescent="0.2">
      <c r="A90" s="701" t="s">
        <v>8</v>
      </c>
      <c r="B90" s="701"/>
      <c r="C90" s="701"/>
    </row>
    <row r="91" spans="1:3" x14ac:dyDescent="0.2">
      <c r="A91" s="609" t="s">
        <v>7</v>
      </c>
      <c r="B91" s="609" t="s">
        <v>6</v>
      </c>
      <c r="C91" s="609" t="s">
        <v>5</v>
      </c>
    </row>
    <row r="92" spans="1:3" x14ac:dyDescent="0.2">
      <c r="A92" s="51">
        <v>1</v>
      </c>
      <c r="B92" s="52" t="e">
        <f ca="1">$C$87</f>
        <v>#N/A</v>
      </c>
      <c r="C92" s="53" t="e">
        <f t="shared" ref="C92:C106" ca="1" si="1">B92/(1+$B$109)^A92</f>
        <v>#N/A</v>
      </c>
    </row>
    <row r="93" spans="1:3" x14ac:dyDescent="0.2">
      <c r="A93" s="51">
        <v>2</v>
      </c>
      <c r="B93" s="52" t="e">
        <f t="shared" ref="B93:B106" ca="1" si="2">$C$87</f>
        <v>#N/A</v>
      </c>
      <c r="C93" s="53" t="e">
        <f t="shared" ca="1" si="1"/>
        <v>#N/A</v>
      </c>
    </row>
    <row r="94" spans="1:3" x14ac:dyDescent="0.2">
      <c r="A94" s="51">
        <v>3</v>
      </c>
      <c r="B94" s="52" t="e">
        <f t="shared" ca="1" si="2"/>
        <v>#N/A</v>
      </c>
      <c r="C94" s="53" t="e">
        <f t="shared" ca="1" si="1"/>
        <v>#N/A</v>
      </c>
    </row>
    <row r="95" spans="1:3" x14ac:dyDescent="0.2">
      <c r="A95" s="51">
        <v>4</v>
      </c>
      <c r="B95" s="52" t="e">
        <f t="shared" ca="1" si="2"/>
        <v>#N/A</v>
      </c>
      <c r="C95" s="53" t="e">
        <f t="shared" ca="1" si="1"/>
        <v>#N/A</v>
      </c>
    </row>
    <row r="96" spans="1:3" x14ac:dyDescent="0.2">
      <c r="A96" s="51">
        <v>5</v>
      </c>
      <c r="B96" s="52" t="e">
        <f t="shared" ca="1" si="2"/>
        <v>#N/A</v>
      </c>
      <c r="C96" s="53" t="e">
        <f t="shared" ca="1" si="1"/>
        <v>#N/A</v>
      </c>
    </row>
    <row r="97" spans="1:17" x14ac:dyDescent="0.2">
      <c r="A97" s="51">
        <v>6</v>
      </c>
      <c r="B97" s="52" t="e">
        <f t="shared" ca="1" si="2"/>
        <v>#N/A</v>
      </c>
      <c r="C97" s="53" t="e">
        <f t="shared" ca="1" si="1"/>
        <v>#N/A</v>
      </c>
    </row>
    <row r="98" spans="1:17" x14ac:dyDescent="0.2">
      <c r="A98" s="51">
        <v>7</v>
      </c>
      <c r="B98" s="52" t="e">
        <f t="shared" ca="1" si="2"/>
        <v>#N/A</v>
      </c>
      <c r="C98" s="53" t="e">
        <f t="shared" ca="1" si="1"/>
        <v>#N/A</v>
      </c>
    </row>
    <row r="99" spans="1:17" x14ac:dyDescent="0.2">
      <c r="A99" s="51">
        <v>8</v>
      </c>
      <c r="B99" s="52" t="e">
        <f t="shared" ca="1" si="2"/>
        <v>#N/A</v>
      </c>
      <c r="C99" s="53" t="e">
        <f t="shared" ca="1" si="1"/>
        <v>#N/A</v>
      </c>
    </row>
    <row r="100" spans="1:17" x14ac:dyDescent="0.2">
      <c r="A100" s="51">
        <v>9</v>
      </c>
      <c r="B100" s="52" t="e">
        <f t="shared" ca="1" si="2"/>
        <v>#N/A</v>
      </c>
      <c r="C100" s="53" t="e">
        <f t="shared" ca="1" si="1"/>
        <v>#N/A</v>
      </c>
    </row>
    <row r="101" spans="1:17" x14ac:dyDescent="0.2">
      <c r="A101" s="51">
        <v>10</v>
      </c>
      <c r="B101" s="52" t="e">
        <f t="shared" ca="1" si="2"/>
        <v>#N/A</v>
      </c>
      <c r="C101" s="53" t="e">
        <f t="shared" ca="1" si="1"/>
        <v>#N/A</v>
      </c>
    </row>
    <row r="102" spans="1:17" s="30" customFormat="1" x14ac:dyDescent="0.2">
      <c r="A102" s="51">
        <v>11</v>
      </c>
      <c r="B102" s="52" t="e">
        <f t="shared" ca="1" si="2"/>
        <v>#N/A</v>
      </c>
      <c r="C102" s="53" t="e">
        <f t="shared" ca="1" si="1"/>
        <v>#N/A</v>
      </c>
      <c r="D102" s="1"/>
      <c r="E102" s="1"/>
      <c r="F102" s="624"/>
      <c r="G102" s="1"/>
      <c r="H102" s="1"/>
      <c r="I102" s="1"/>
      <c r="J102" s="1"/>
      <c r="K102" s="1"/>
      <c r="L102" s="1"/>
      <c r="M102" s="1"/>
      <c r="N102" s="1"/>
      <c r="O102" s="1"/>
      <c r="P102" s="1"/>
      <c r="Q102" s="1"/>
    </row>
    <row r="103" spans="1:17" s="30" customFormat="1" x14ac:dyDescent="0.2">
      <c r="A103" s="51">
        <v>12</v>
      </c>
      <c r="B103" s="52" t="e">
        <f t="shared" ca="1" si="2"/>
        <v>#N/A</v>
      </c>
      <c r="C103" s="53" t="e">
        <f t="shared" ca="1" si="1"/>
        <v>#N/A</v>
      </c>
      <c r="D103" s="1"/>
      <c r="E103" s="1"/>
      <c r="F103" s="624"/>
      <c r="G103" s="1"/>
      <c r="H103" s="1"/>
      <c r="I103" s="1"/>
      <c r="J103" s="1"/>
      <c r="K103" s="1"/>
      <c r="L103" s="1"/>
      <c r="M103" s="1"/>
      <c r="N103" s="1"/>
      <c r="O103" s="1"/>
      <c r="P103" s="1"/>
      <c r="Q103" s="1"/>
    </row>
    <row r="104" spans="1:17" s="30" customFormat="1" x14ac:dyDescent="0.2">
      <c r="A104" s="51">
        <v>13</v>
      </c>
      <c r="B104" s="52" t="e">
        <f t="shared" ca="1" si="2"/>
        <v>#N/A</v>
      </c>
      <c r="C104" s="53" t="e">
        <f t="shared" ca="1" si="1"/>
        <v>#N/A</v>
      </c>
      <c r="D104" s="1"/>
      <c r="E104" s="1"/>
      <c r="F104" s="624"/>
      <c r="G104" s="1"/>
      <c r="H104" s="1"/>
      <c r="I104" s="1"/>
      <c r="J104" s="1"/>
      <c r="K104" s="1"/>
      <c r="L104" s="1"/>
      <c r="M104" s="1"/>
      <c r="N104" s="1"/>
      <c r="O104" s="1"/>
      <c r="P104" s="1"/>
      <c r="Q104" s="1"/>
    </row>
    <row r="105" spans="1:17" s="30" customFormat="1" x14ac:dyDescent="0.2">
      <c r="A105" s="51">
        <v>14</v>
      </c>
      <c r="B105" s="52" t="e">
        <f t="shared" ca="1" si="2"/>
        <v>#N/A</v>
      </c>
      <c r="C105" s="53" t="e">
        <f t="shared" ca="1" si="1"/>
        <v>#N/A</v>
      </c>
      <c r="D105" s="1"/>
      <c r="E105" s="1"/>
      <c r="F105" s="624"/>
      <c r="G105" s="1"/>
      <c r="H105" s="1"/>
      <c r="I105" s="1"/>
      <c r="J105" s="1"/>
      <c r="K105" s="1"/>
      <c r="L105" s="1"/>
      <c r="M105" s="1"/>
      <c r="N105" s="1"/>
      <c r="O105" s="1"/>
      <c r="P105" s="1"/>
      <c r="Q105" s="1"/>
    </row>
    <row r="106" spans="1:17" s="30" customFormat="1" x14ac:dyDescent="0.2">
      <c r="A106" s="51">
        <v>15</v>
      </c>
      <c r="B106" s="52" t="e">
        <f t="shared" ca="1" si="2"/>
        <v>#N/A</v>
      </c>
      <c r="C106" s="53" t="e">
        <f t="shared" ca="1" si="1"/>
        <v>#N/A</v>
      </c>
      <c r="D106" s="1"/>
      <c r="E106" s="1"/>
      <c r="F106" s="624"/>
      <c r="G106" s="1"/>
      <c r="H106" s="1"/>
      <c r="I106" s="1"/>
      <c r="J106" s="1"/>
      <c r="K106" s="1"/>
      <c r="L106" s="1"/>
      <c r="M106" s="1"/>
      <c r="N106" s="1"/>
      <c r="O106" s="1"/>
      <c r="P106" s="1"/>
      <c r="Q106" s="1"/>
    </row>
    <row r="107" spans="1:17" s="30" customFormat="1" x14ac:dyDescent="0.2">
      <c r="A107" s="702" t="s">
        <v>4</v>
      </c>
      <c r="B107" s="702"/>
      <c r="C107" s="54" t="e">
        <f ca="1">SUM(C92:C106)</f>
        <v>#N/A</v>
      </c>
      <c r="D107" s="1"/>
      <c r="E107" s="1"/>
      <c r="F107" s="624"/>
      <c r="G107" s="1"/>
      <c r="H107" s="1"/>
      <c r="I107" s="1"/>
      <c r="J107" s="1"/>
      <c r="K107" s="1"/>
      <c r="L107" s="1"/>
      <c r="M107" s="1"/>
      <c r="N107" s="1"/>
      <c r="O107" s="1"/>
      <c r="P107" s="1"/>
      <c r="Q107" s="1"/>
    </row>
    <row r="109" spans="1:17" s="30" customFormat="1" x14ac:dyDescent="0.2">
      <c r="A109" s="55" t="s">
        <v>3</v>
      </c>
      <c r="B109" s="56">
        <v>0.04</v>
      </c>
      <c r="C109" s="1"/>
      <c r="D109" s="1"/>
      <c r="E109" s="1"/>
      <c r="F109" s="624"/>
      <c r="G109" s="1"/>
      <c r="H109" s="1"/>
      <c r="I109" s="1"/>
      <c r="J109" s="1"/>
      <c r="K109" s="1"/>
      <c r="L109" s="1"/>
      <c r="M109" s="1"/>
      <c r="N109" s="1"/>
      <c r="O109" s="1"/>
      <c r="P109" s="1"/>
      <c r="Q109" s="1"/>
    </row>
    <row r="111" spans="1:17" s="30" customFormat="1" x14ac:dyDescent="0.2">
      <c r="A111" s="1" t="s">
        <v>176</v>
      </c>
      <c r="B111" s="1"/>
      <c r="C111" s="1"/>
      <c r="D111" s="1"/>
      <c r="E111" s="1"/>
      <c r="F111" s="624"/>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F113" s="624"/>
      <c r="G113" s="1"/>
      <c r="H113" s="1"/>
      <c r="I113" s="1"/>
      <c r="J113" s="1"/>
      <c r="K113" s="1"/>
      <c r="L113" s="1"/>
      <c r="M113" s="1"/>
      <c r="N113" s="1"/>
      <c r="O113" s="1"/>
      <c r="P113" s="1"/>
      <c r="Q113" s="1"/>
    </row>
    <row r="114" spans="1:17" s="30" customFormat="1" x14ac:dyDescent="0.2">
      <c r="A114" s="241" t="s">
        <v>320</v>
      </c>
      <c r="B114" s="234">
        <v>0</v>
      </c>
      <c r="C114" s="59">
        <f t="shared" ref="C114:C119" si="3">B114*$C$61</f>
        <v>0</v>
      </c>
      <c r="D114" s="237">
        <v>0</v>
      </c>
      <c r="E114" s="235" t="s">
        <v>491</v>
      </c>
      <c r="F114" s="624"/>
      <c r="G114" s="1"/>
      <c r="H114" s="1"/>
      <c r="I114" s="1"/>
      <c r="J114" s="1"/>
      <c r="K114" s="1"/>
      <c r="L114" s="1"/>
      <c r="M114" s="1"/>
      <c r="N114" s="1"/>
      <c r="O114" s="1"/>
      <c r="P114" s="1"/>
      <c r="Q114" s="1"/>
    </row>
    <row r="115" spans="1:17" s="30" customFormat="1" x14ac:dyDescent="0.2">
      <c r="A115" s="241" t="s">
        <v>318</v>
      </c>
      <c r="B115" s="234">
        <v>0</v>
      </c>
      <c r="C115" s="59">
        <f t="shared" si="3"/>
        <v>0</v>
      </c>
      <c r="D115" s="237">
        <v>0</v>
      </c>
      <c r="E115" s="235">
        <v>0</v>
      </c>
      <c r="F115" s="624"/>
      <c r="G115" s="1"/>
      <c r="H115" s="1"/>
      <c r="I115" s="1"/>
      <c r="J115" s="1"/>
      <c r="K115" s="1"/>
      <c r="L115" s="1"/>
      <c r="M115" s="1"/>
      <c r="N115" s="1"/>
      <c r="O115" s="1"/>
      <c r="P115" s="1"/>
      <c r="Q115" s="1"/>
    </row>
    <row r="116" spans="1:17" s="30" customFormat="1" x14ac:dyDescent="0.2">
      <c r="A116" s="241" t="s">
        <v>319</v>
      </c>
      <c r="B116" s="234">
        <v>0</v>
      </c>
      <c r="C116" s="59">
        <f t="shared" si="3"/>
        <v>0</v>
      </c>
      <c r="D116" s="237">
        <v>0</v>
      </c>
      <c r="E116" s="235">
        <v>0</v>
      </c>
      <c r="F116" s="624"/>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F117" s="624"/>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629"/>
    </row>
    <row r="123" spans="1:17" ht="25.5" x14ac:dyDescent="0.2">
      <c r="A123" s="60" t="s">
        <v>181</v>
      </c>
      <c r="B123" s="57" t="s">
        <v>182</v>
      </c>
      <c r="C123" s="57" t="s">
        <v>183</v>
      </c>
    </row>
    <row r="124" spans="1:17" x14ac:dyDescent="0.2">
      <c r="A124" s="58" t="s">
        <v>68</v>
      </c>
      <c r="B124" s="61">
        <v>0</v>
      </c>
      <c r="C124" s="61">
        <v>3000</v>
      </c>
    </row>
    <row r="125" spans="1:17" x14ac:dyDescent="0.2">
      <c r="A125" s="58" t="s">
        <v>184</v>
      </c>
      <c r="B125" s="61">
        <v>0</v>
      </c>
      <c r="C125" s="61">
        <v>2500</v>
      </c>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48"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9FC94-163C-4C99-8BFB-5FD789E355ED}">
  <sheetPr>
    <tabColor rgb="FFFF0000"/>
    <pageSetUpPr fitToPage="1"/>
  </sheetPr>
  <dimension ref="A1:Q125"/>
  <sheetViews>
    <sheetView topLeftCell="A37" workbookViewId="0">
      <selection activeCell="I50" sqref="I50"/>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e">
        <f ca="1">INDEX('Referenčne količine'!$C$4:$C$9,MATCH('OB010'!B6,'Referenčne količine'!$B$4:$B$9,0))</f>
        <v>#N/A</v>
      </c>
      <c r="C4" s="675"/>
    </row>
    <row r="5" spans="1:7" x14ac:dyDescent="0.2">
      <c r="A5" s="4" t="s">
        <v>16</v>
      </c>
      <c r="B5" s="676" t="e">
        <f ca="1">INDEX('Referenčne količine'!$D$4:$D$9,MATCH('OB010'!B6,'Referenčne količine'!$B$4:$B$9,0))</f>
        <v>#N/A</v>
      </c>
      <c r="C5" s="677"/>
    </row>
    <row r="6" spans="1:7" x14ac:dyDescent="0.2">
      <c r="A6" s="4" t="s">
        <v>15</v>
      </c>
      <c r="B6" s="676" t="str">
        <f ca="1">RIGHT(CELL("filename",A1),5)</f>
        <v>OB010</v>
      </c>
      <c r="C6" s="677"/>
    </row>
    <row r="7" spans="1:7" x14ac:dyDescent="0.2">
      <c r="A7" s="4" t="s">
        <v>14</v>
      </c>
      <c r="B7" s="678" t="e">
        <f ca="1">INDEX('Referenčne količine'!$G$4:$G$9,MATCH('OB010'!B6,'Referenčne količine'!$B$4:$B$9,0))</f>
        <v>#N/A</v>
      </c>
      <c r="C7" s="679"/>
      <c r="F7" s="214"/>
      <c r="G7" s="5"/>
    </row>
    <row r="8" spans="1:7" x14ac:dyDescent="0.2">
      <c r="A8" s="4" t="s">
        <v>294</v>
      </c>
      <c r="B8" s="680" t="e">
        <f ca="1">INDEX('Referenčne količine'!$P$4:$P$9,MATCH('OB010'!B6,'Referenčne količine'!$B$4:$B$9,0))</f>
        <v>#N/A</v>
      </c>
      <c r="C8" s="681"/>
      <c r="F8" s="214"/>
      <c r="G8" s="5"/>
    </row>
    <row r="9" spans="1:7" x14ac:dyDescent="0.2">
      <c r="A9" s="4" t="s">
        <v>295</v>
      </c>
      <c r="B9" s="680" t="e">
        <f ca="1">INDEX('Referenčne količine'!$W$4:$W$9,MATCH('OB010'!B6,'Referenčne količine'!$B$4:$B$9,0))</f>
        <v>#N/A</v>
      </c>
      <c r="C9" s="681"/>
      <c r="F9" s="214"/>
      <c r="G9" s="5"/>
    </row>
    <row r="10" spans="1:7" ht="13.5" thickBot="1" x14ac:dyDescent="0.25">
      <c r="A10" s="213" t="s">
        <v>296</v>
      </c>
      <c r="B10" s="682" t="e">
        <f ca="1">INDEX('Referenčne količine'!$AD$4:$AD$9,MATCH('OB010'!B6,'Referenčne količine'!$B$4:$B$9,0))</f>
        <v>#N/A</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t="e">
        <f ca="1">INDEX('Referenčne količine'!$AK$4:$AK$9,MATCH('OB010'!$B$6,'Referenčne količine'!$B$4:$B$9,0))</f>
        <v>#N/A</v>
      </c>
      <c r="C14" s="11" t="e">
        <f ca="1">INDEX('Referenčne količine'!$AS$4:$AS$9,MATCH('OB010'!$B$6,'Referenčne količine'!$B$4:$B$9,0))</f>
        <v>#N/A</v>
      </c>
      <c r="E14" s="12"/>
      <c r="F14" s="215"/>
    </row>
    <row r="15" spans="1:7" x14ac:dyDescent="0.2">
      <c r="A15" s="13" t="s">
        <v>148</v>
      </c>
      <c r="B15" s="14" t="e">
        <f ca="1">INDEX('Referenčne količine'!$AM$4:$AM$9,MATCH('OB010'!$B$6,'Referenčne količine'!$B$4:$B$9,0))</f>
        <v>#N/A</v>
      </c>
      <c r="C15" s="14" t="e">
        <f ca="1">INDEX('Referenčne količine'!$AT$4:$AT$9,MATCH('OB010'!$B$6,'Referenčne količine'!$B$4:$B$9,0))</f>
        <v>#N/A</v>
      </c>
      <c r="E15" s="12"/>
      <c r="F15" s="215"/>
    </row>
    <row r="16" spans="1:7" x14ac:dyDescent="0.2">
      <c r="A16" s="15" t="s">
        <v>149</v>
      </c>
      <c r="B16" s="16" t="e">
        <f ca="1">INDEX('Referenčne količine'!$AO$4:$AO$9,MATCH('OB010'!$B$6,'Referenčne količine'!$B$4:$B$9,0))</f>
        <v>#N/A</v>
      </c>
      <c r="C16" s="16" t="e">
        <f ca="1">INDEX('Referenčne količine'!$AW$4:$AW$9,MATCH('OB010'!$B$6,'Referenčne količine'!$B$4:$B$9,0))</f>
        <v>#N/A</v>
      </c>
      <c r="E16" s="5"/>
      <c r="F16" s="214"/>
    </row>
    <row r="17" spans="1:6" x14ac:dyDescent="0.2">
      <c r="A17" s="17" t="s">
        <v>316</v>
      </c>
      <c r="B17" s="16" t="e">
        <f ca="1">INDEX('Referenčne količine'!$AP$4:$AP$9,MATCH('OB010'!$B$6,'Referenčne količine'!$B$4:$B$9,0))</f>
        <v>#N/A</v>
      </c>
      <c r="C17" s="16" t="e">
        <f ca="1">INDEX('Referenčne količine'!$AX$4:$AX$9,MATCH('OB010'!$B$6,'Referenčne količine'!$B$4:$B$9,0))</f>
        <v>#N/A</v>
      </c>
      <c r="E17" s="5"/>
      <c r="F17" s="214"/>
    </row>
    <row r="18" spans="1:6" x14ac:dyDescent="0.2">
      <c r="A18" s="15" t="s">
        <v>315</v>
      </c>
      <c r="B18" s="16" t="e">
        <f ca="1">INDEX('Referenčne količine'!$AQ$4:$AQ$9,MATCH('OB010'!$B$6,'Referenčne količine'!$B$4:$B$9,0))</f>
        <v>#N/A</v>
      </c>
      <c r="C18" s="16" t="e">
        <f ca="1">INDEX('Referenčne količine'!$AY$4:$AY$9,MATCH('OB010'!$B$6,'Referenčne količine'!$B$4:$B$9,0))</f>
        <v>#N/A</v>
      </c>
      <c r="E18" s="12"/>
      <c r="F18" s="215"/>
    </row>
    <row r="19" spans="1:6" x14ac:dyDescent="0.2">
      <c r="A19" s="15" t="s">
        <v>150</v>
      </c>
      <c r="B19" s="18" t="e">
        <f ca="1">INDEX('Referenčne količine'!$AL$4:$AL$9,MATCH('OB010'!$B$6,'Referenčne količine'!$B$4:$B$9,0))</f>
        <v>#N/A</v>
      </c>
      <c r="C19" s="18" t="e">
        <f ca="1">INDEX('Referenčne količine'!$AV$4:$AV$9,MATCH('OB010'!$B$6,'Referenčne količine'!$B$4:$B$9,0))</f>
        <v>#N/A</v>
      </c>
      <c r="E19" s="12"/>
      <c r="F19" s="215"/>
    </row>
    <row r="20" spans="1:6" ht="13.5" thickBot="1" x14ac:dyDescent="0.25">
      <c r="A20" s="19" t="s">
        <v>151</v>
      </c>
      <c r="B20" s="20" t="e">
        <f ca="1">INDEX('Referenčne količine'!$AN$4:$AN$9,MATCH('OB010'!$B$6,'Referenčne količine'!$B$4:$B$9,0))</f>
        <v>#N/A</v>
      </c>
      <c r="C20" s="20" t="e">
        <f ca="1">INDEX('Referenčne količine'!$AN$4:$AN$9,MATCH('OB010'!$B$6,'Referenčne količine'!$B$4:$B$9,0))</f>
        <v>#N/A</v>
      </c>
      <c r="E20" s="12"/>
      <c r="F20" s="215"/>
    </row>
    <row r="21" spans="1:6" x14ac:dyDescent="0.2">
      <c r="A21" s="9" t="s">
        <v>152</v>
      </c>
      <c r="B21" s="10" t="e">
        <f ca="1">INDEX('Referenčne količine'!$AZ$4:$AZ$9,MATCH('OB010'!$B$6,'Referenčne količine'!$B$4:$B$9,0))</f>
        <v>#N/A</v>
      </c>
      <c r="C21" s="10" t="e">
        <f ca="1">INDEX('Referenčne količine'!$BF$4:$BF$9,MATCH('OB010'!$B$6,'Referenčne količine'!$B$4:$B$9,0))</f>
        <v>#N/A</v>
      </c>
      <c r="E21" s="12"/>
      <c r="F21" s="215"/>
    </row>
    <row r="22" spans="1:6" x14ac:dyDescent="0.2">
      <c r="A22" s="21" t="s">
        <v>153</v>
      </c>
      <c r="B22" s="14" t="e">
        <f ca="1">INDEX('Referenčne količine'!$BC$4:$BC$9,MATCH('OB010'!$B$6,'Referenčne količine'!$B$4:$B$9,0))</f>
        <v>#N/A</v>
      </c>
      <c r="C22" s="14" t="e">
        <f ca="1">INDEX('Referenčne količine'!$BH$4:$BH$9,MATCH('OB010'!$B$6,'Referenčne količine'!$B$4:$B$9,0))</f>
        <v>#N/A</v>
      </c>
      <c r="E22" s="12"/>
      <c r="F22" s="215"/>
    </row>
    <row r="23" spans="1:6" x14ac:dyDescent="0.2">
      <c r="A23" s="21" t="s">
        <v>154</v>
      </c>
      <c r="B23" s="14" t="e">
        <f ca="1">INDEX('Referenčne količine'!$BD$4:$BD$9,MATCH('OB010'!$B$6,'Referenčne količine'!$B$4:$B$9,0))</f>
        <v>#N/A</v>
      </c>
      <c r="C23" s="14" t="e">
        <f ca="1">INDEX('Referenčne količine'!$BI$4:$BI$9,MATCH('OB010'!$B$6,'Referenčne količine'!$B$4:$B$9,0))</f>
        <v>#N/A</v>
      </c>
      <c r="E23" s="12"/>
      <c r="F23" s="215"/>
    </row>
    <row r="24" spans="1:6" x14ac:dyDescent="0.2">
      <c r="A24" s="22" t="s">
        <v>155</v>
      </c>
      <c r="B24" s="23" t="e">
        <f ca="1">INDEX('Referenčne količine'!$BA$4:$BA$9,MATCH('OB010'!$B$6,'Referenčne količine'!$B$4:$B$9,0))</f>
        <v>#N/A</v>
      </c>
      <c r="C24" s="24" t="e">
        <f ca="1">INDEX('Referenčne količine'!$BG$4:$BG$9,MATCH('OB010'!$B$6,'Referenčne količine'!$B$4:$B$9,0))</f>
        <v>#N/A</v>
      </c>
      <c r="D24" s="25"/>
      <c r="E24" s="12"/>
      <c r="F24" s="215"/>
    </row>
    <row r="25" spans="1:6" ht="13.5" thickBot="1" x14ac:dyDescent="0.25">
      <c r="A25" s="26" t="s">
        <v>156</v>
      </c>
      <c r="B25" s="62" t="e">
        <f ca="1">INDEX('Referenčne količine'!$BB$4:$BB$9,MATCH('OB010'!$B$6,'Referenčne količine'!$B$4:$B$9,0))</f>
        <v>#N/A</v>
      </c>
      <c r="C25" s="62" t="e">
        <f ca="1">INDEX('Referenčne količine'!$BB$4:$BB$9,MATCH('OB010'!$B$6,'Referenčne količine'!$B$4:$B$9,0))</f>
        <v>#N/A</v>
      </c>
      <c r="E25" s="12"/>
      <c r="F25" s="215"/>
    </row>
    <row r="26" spans="1:6" ht="14.45" customHeight="1" thickBot="1" x14ac:dyDescent="0.25">
      <c r="A26" s="27" t="s">
        <v>157</v>
      </c>
      <c r="B26" s="28" t="e">
        <f ca="1">INDEX('Referenčne količine'!$BK$4:$BK$9,MATCH('OB010'!$B$6,'Referenčne količine'!$B$4:$B$9,0))</f>
        <v>#N/A</v>
      </c>
      <c r="C26" s="29"/>
      <c r="E26" s="12"/>
      <c r="F26" s="215"/>
    </row>
    <row r="27" spans="1:6" ht="13.5" thickBot="1" x14ac:dyDescent="0.25">
      <c r="F27" s="229">
        <f ca="1">VALUE(RIGHT(CELL("filename",A1),2))</f>
        <v>10</v>
      </c>
    </row>
    <row r="28" spans="1:6" ht="25.5" x14ac:dyDescent="0.2">
      <c r="A28" s="219" t="s">
        <v>158</v>
      </c>
      <c r="B28" s="221" t="s">
        <v>299</v>
      </c>
      <c r="C28" s="222" t="s">
        <v>300</v>
      </c>
      <c r="D28" s="221" t="s">
        <v>302</v>
      </c>
      <c r="E28" s="221" t="s">
        <v>301</v>
      </c>
      <c r="F28" s="230"/>
    </row>
    <row r="29" spans="1:6" x14ac:dyDescent="0.2">
      <c r="A29" s="218" t="s">
        <v>491</v>
      </c>
      <c r="B29" s="226" t="s">
        <v>491</v>
      </c>
      <c r="C29" s="226" t="s">
        <v>491</v>
      </c>
      <c r="D29" s="226" t="s">
        <v>491</v>
      </c>
      <c r="E29" s="226" t="s">
        <v>491</v>
      </c>
      <c r="F29" s="231">
        <v>1</v>
      </c>
    </row>
    <row r="30" spans="1:6" ht="13.15" customHeight="1" x14ac:dyDescent="0.2">
      <c r="A30" s="218" t="s">
        <v>491</v>
      </c>
      <c r="B30" s="226" t="s">
        <v>491</v>
      </c>
      <c r="C30" s="226" t="s">
        <v>491</v>
      </c>
      <c r="D30" s="226" t="s">
        <v>491</v>
      </c>
      <c r="E30" s="226" t="s">
        <v>491</v>
      </c>
      <c r="F30" s="231">
        <f t="shared" ref="F30:F53" si="0">F29+1</f>
        <v>2</v>
      </c>
    </row>
    <row r="31" spans="1:6" x14ac:dyDescent="0.2">
      <c r="A31" s="218" t="s">
        <v>491</v>
      </c>
      <c r="B31" s="226" t="s">
        <v>491</v>
      </c>
      <c r="C31" s="226" t="s">
        <v>491</v>
      </c>
      <c r="D31" s="226" t="s">
        <v>491</v>
      </c>
      <c r="E31" s="226" t="s">
        <v>491</v>
      </c>
      <c r="F31" s="231">
        <f t="shared" si="0"/>
        <v>3</v>
      </c>
    </row>
    <row r="32" spans="1:6" x14ac:dyDescent="0.2">
      <c r="A32" s="218" t="s">
        <v>491</v>
      </c>
      <c r="B32" s="226" t="s">
        <v>491</v>
      </c>
      <c r="C32" s="226" t="s">
        <v>491</v>
      </c>
      <c r="D32" s="226" t="s">
        <v>491</v>
      </c>
      <c r="E32" s="226" t="s">
        <v>491</v>
      </c>
      <c r="F32" s="231">
        <f t="shared" si="0"/>
        <v>4</v>
      </c>
    </row>
    <row r="33" spans="1:6" x14ac:dyDescent="0.2">
      <c r="A33" s="218" t="s">
        <v>491</v>
      </c>
      <c r="B33" s="226" t="s">
        <v>491</v>
      </c>
      <c r="C33" s="226" t="s">
        <v>491</v>
      </c>
      <c r="D33" s="226" t="s">
        <v>491</v>
      </c>
      <c r="E33" s="226" t="s">
        <v>491</v>
      </c>
      <c r="F33" s="231">
        <f t="shared" si="0"/>
        <v>5</v>
      </c>
    </row>
    <row r="34" spans="1:6" s="30" customFormat="1" x14ac:dyDescent="0.2">
      <c r="A34" s="218" t="s">
        <v>491</v>
      </c>
      <c r="B34" s="226" t="s">
        <v>491</v>
      </c>
      <c r="C34" s="226" t="s">
        <v>491</v>
      </c>
      <c r="D34" s="226" t="s">
        <v>491</v>
      </c>
      <c r="E34" s="226" t="s">
        <v>491</v>
      </c>
      <c r="F34" s="231">
        <f t="shared" si="0"/>
        <v>6</v>
      </c>
    </row>
    <row r="35" spans="1:6" x14ac:dyDescent="0.2">
      <c r="A35" s="218" t="s">
        <v>491</v>
      </c>
      <c r="B35" s="226" t="s">
        <v>491</v>
      </c>
      <c r="C35" s="226" t="s">
        <v>491</v>
      </c>
      <c r="D35" s="226" t="s">
        <v>491</v>
      </c>
      <c r="E35" s="226" t="s">
        <v>491</v>
      </c>
      <c r="F35" s="231">
        <f t="shared" si="0"/>
        <v>7</v>
      </c>
    </row>
    <row r="36" spans="1:6" x14ac:dyDescent="0.2">
      <c r="A36" s="218" t="s">
        <v>491</v>
      </c>
      <c r="B36" s="226" t="s">
        <v>491</v>
      </c>
      <c r="C36" s="226" t="s">
        <v>491</v>
      </c>
      <c r="D36" s="226" t="s">
        <v>491</v>
      </c>
      <c r="E36" s="226" t="s">
        <v>491</v>
      </c>
      <c r="F36" s="231">
        <f t="shared" si="0"/>
        <v>8</v>
      </c>
    </row>
    <row r="37" spans="1:6" s="30" customFormat="1" x14ac:dyDescent="0.2">
      <c r="A37" s="218" t="s">
        <v>491</v>
      </c>
      <c r="B37" s="226" t="s">
        <v>491</v>
      </c>
      <c r="C37" s="226" t="s">
        <v>491</v>
      </c>
      <c r="D37" s="226" t="s">
        <v>491</v>
      </c>
      <c r="E37" s="226" t="s">
        <v>491</v>
      </c>
      <c r="F37" s="231">
        <f t="shared" si="0"/>
        <v>9</v>
      </c>
    </row>
    <row r="38" spans="1:6" x14ac:dyDescent="0.2">
      <c r="A38" s="218" t="s">
        <v>491</v>
      </c>
      <c r="B38" s="226" t="s">
        <v>491</v>
      </c>
      <c r="C38" s="226" t="s">
        <v>491</v>
      </c>
      <c r="D38" s="226" t="s">
        <v>491</v>
      </c>
      <c r="E38" s="226" t="s">
        <v>491</v>
      </c>
      <c r="F38" s="231">
        <f t="shared" si="0"/>
        <v>10</v>
      </c>
    </row>
    <row r="39" spans="1:6" x14ac:dyDescent="0.2">
      <c r="A39" s="218" t="s">
        <v>491</v>
      </c>
      <c r="B39" s="226" t="s">
        <v>491</v>
      </c>
      <c r="C39" s="226" t="s">
        <v>491</v>
      </c>
      <c r="D39" s="226" t="s">
        <v>491</v>
      </c>
      <c r="E39" s="226" t="s">
        <v>491</v>
      </c>
      <c r="F39" s="231">
        <f t="shared" si="0"/>
        <v>11</v>
      </c>
    </row>
    <row r="40" spans="1:6" ht="13.15" customHeight="1" x14ac:dyDescent="0.2">
      <c r="A40" s="218" t="s">
        <v>491</v>
      </c>
      <c r="B40" s="226" t="s">
        <v>491</v>
      </c>
      <c r="C40" s="226" t="s">
        <v>491</v>
      </c>
      <c r="D40" s="226" t="s">
        <v>491</v>
      </c>
      <c r="E40" s="226" t="s">
        <v>491</v>
      </c>
      <c r="F40" s="231">
        <f t="shared" si="0"/>
        <v>12</v>
      </c>
    </row>
    <row r="41" spans="1:6" x14ac:dyDescent="0.2">
      <c r="A41" s="218" t="s">
        <v>491</v>
      </c>
      <c r="B41" s="226" t="s">
        <v>491</v>
      </c>
      <c r="C41" s="226" t="s">
        <v>491</v>
      </c>
      <c r="D41" s="226" t="s">
        <v>491</v>
      </c>
      <c r="E41" s="226" t="s">
        <v>491</v>
      </c>
      <c r="F41" s="231">
        <f t="shared" si="0"/>
        <v>13</v>
      </c>
    </row>
    <row r="42" spans="1:6" x14ac:dyDescent="0.2">
      <c r="A42" s="218" t="s">
        <v>491</v>
      </c>
      <c r="B42" s="226" t="s">
        <v>491</v>
      </c>
      <c r="C42" s="226" t="s">
        <v>491</v>
      </c>
      <c r="D42" s="226" t="s">
        <v>491</v>
      </c>
      <c r="E42" s="226" t="s">
        <v>491</v>
      </c>
      <c r="F42" s="231">
        <f t="shared" si="0"/>
        <v>14</v>
      </c>
    </row>
    <row r="43" spans="1:6" x14ac:dyDescent="0.2">
      <c r="A43" s="218" t="s">
        <v>491</v>
      </c>
      <c r="B43" s="226" t="s">
        <v>491</v>
      </c>
      <c r="C43" s="226" t="s">
        <v>491</v>
      </c>
      <c r="D43" s="226" t="s">
        <v>491</v>
      </c>
      <c r="E43" s="226" t="s">
        <v>491</v>
      </c>
      <c r="F43" s="231">
        <f t="shared" si="0"/>
        <v>15</v>
      </c>
    </row>
    <row r="44" spans="1:6" x14ac:dyDescent="0.2">
      <c r="A44" s="218" t="s">
        <v>491</v>
      </c>
      <c r="B44" s="226" t="s">
        <v>491</v>
      </c>
      <c r="C44" s="226" t="s">
        <v>491</v>
      </c>
      <c r="D44" s="226" t="s">
        <v>491</v>
      </c>
      <c r="E44" s="226" t="s">
        <v>491</v>
      </c>
      <c r="F44" s="231">
        <f t="shared" si="0"/>
        <v>16</v>
      </c>
    </row>
    <row r="45" spans="1:6" ht="15" customHeight="1" x14ac:dyDescent="0.2">
      <c r="A45" s="218" t="s">
        <v>491</v>
      </c>
      <c r="B45" s="226" t="s">
        <v>491</v>
      </c>
      <c r="C45" s="226" t="s">
        <v>491</v>
      </c>
      <c r="D45" s="226" t="s">
        <v>491</v>
      </c>
      <c r="E45" s="226" t="s">
        <v>491</v>
      </c>
      <c r="F45" s="231">
        <f t="shared" si="0"/>
        <v>17</v>
      </c>
    </row>
    <row r="46" spans="1:6" x14ac:dyDescent="0.2">
      <c r="A46" s="218" t="s">
        <v>491</v>
      </c>
      <c r="B46" s="226" t="s">
        <v>491</v>
      </c>
      <c r="C46" s="226" t="s">
        <v>491</v>
      </c>
      <c r="D46" s="226" t="s">
        <v>491</v>
      </c>
      <c r="E46" s="226" t="s">
        <v>491</v>
      </c>
      <c r="F46" s="231">
        <f t="shared" si="0"/>
        <v>18</v>
      </c>
    </row>
    <row r="47" spans="1:6" x14ac:dyDescent="0.2">
      <c r="A47" s="218" t="s">
        <v>491</v>
      </c>
      <c r="B47" s="226" t="s">
        <v>491</v>
      </c>
      <c r="C47" s="226" t="s">
        <v>491</v>
      </c>
      <c r="D47" s="226" t="s">
        <v>491</v>
      </c>
      <c r="E47" s="226" t="s">
        <v>491</v>
      </c>
      <c r="F47" s="231">
        <f t="shared" si="0"/>
        <v>19</v>
      </c>
    </row>
    <row r="48" spans="1:6" x14ac:dyDescent="0.2">
      <c r="A48" s="218" t="s">
        <v>491</v>
      </c>
      <c r="B48" s="226" t="s">
        <v>491</v>
      </c>
      <c r="C48" s="226" t="s">
        <v>491</v>
      </c>
      <c r="D48" s="226" t="s">
        <v>491</v>
      </c>
      <c r="E48" s="226" t="s">
        <v>491</v>
      </c>
      <c r="F48" s="231">
        <f t="shared" si="0"/>
        <v>20</v>
      </c>
    </row>
    <row r="49" spans="1:17" x14ac:dyDescent="0.2">
      <c r="A49" s="218" t="s">
        <v>491</v>
      </c>
      <c r="B49" s="226" t="s">
        <v>491</v>
      </c>
      <c r="C49" s="226" t="s">
        <v>491</v>
      </c>
      <c r="D49" s="226" t="s">
        <v>491</v>
      </c>
      <c r="E49" s="226" t="s">
        <v>491</v>
      </c>
      <c r="F49" s="231">
        <f t="shared" si="0"/>
        <v>21</v>
      </c>
    </row>
    <row r="50" spans="1:17" x14ac:dyDescent="0.2">
      <c r="A50" s="218" t="s">
        <v>491</v>
      </c>
      <c r="B50" s="226" t="s">
        <v>491</v>
      </c>
      <c r="C50" s="226" t="s">
        <v>491</v>
      </c>
      <c r="D50" s="226" t="s">
        <v>491</v>
      </c>
      <c r="E50" s="226" t="s">
        <v>491</v>
      </c>
      <c r="F50" s="231">
        <f t="shared" si="0"/>
        <v>22</v>
      </c>
    </row>
    <row r="51" spans="1:17" x14ac:dyDescent="0.2">
      <c r="A51" s="218" t="s">
        <v>491</v>
      </c>
      <c r="B51" s="226" t="s">
        <v>491</v>
      </c>
      <c r="C51" s="226" t="s">
        <v>491</v>
      </c>
      <c r="D51" s="226" t="s">
        <v>491</v>
      </c>
      <c r="E51" s="226" t="s">
        <v>491</v>
      </c>
      <c r="F51" s="231">
        <f t="shared" si="0"/>
        <v>23</v>
      </c>
    </row>
    <row r="52" spans="1:17" x14ac:dyDescent="0.2">
      <c r="A52" s="218" t="s">
        <v>491</v>
      </c>
      <c r="B52" s="226" t="s">
        <v>491</v>
      </c>
      <c r="C52" s="226" t="s">
        <v>491</v>
      </c>
      <c r="D52" s="226" t="s">
        <v>491</v>
      </c>
      <c r="E52" s="226" t="s">
        <v>491</v>
      </c>
      <c r="F52" s="231">
        <f t="shared" si="0"/>
        <v>24</v>
      </c>
    </row>
    <row r="53" spans="1:17" ht="13.5" thickBot="1" x14ac:dyDescent="0.25">
      <c r="A53" s="218" t="s">
        <v>491</v>
      </c>
      <c r="B53" s="226" t="s">
        <v>491</v>
      </c>
      <c r="C53" s="226" t="s">
        <v>491</v>
      </c>
      <c r="D53" s="226" t="s">
        <v>491</v>
      </c>
      <c r="E53" s="226" t="s">
        <v>491</v>
      </c>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v>0</v>
      </c>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v>0</v>
      </c>
      <c r="D60" s="5"/>
      <c r="E60" s="31"/>
      <c r="F60" s="216"/>
      <c r="G60" s="31"/>
      <c r="H60" s="31"/>
      <c r="I60" s="31"/>
      <c r="J60" s="31"/>
      <c r="K60" s="31"/>
      <c r="L60" s="31"/>
      <c r="M60" s="31"/>
      <c r="N60" s="31"/>
      <c r="O60" s="31"/>
      <c r="P60" s="31"/>
      <c r="Q60" s="31"/>
    </row>
    <row r="61" spans="1:17" x14ac:dyDescent="0.2">
      <c r="A61" s="689" t="s">
        <v>160</v>
      </c>
      <c r="B61" s="690"/>
      <c r="C61" s="34">
        <v>0</v>
      </c>
      <c r="E61" s="31"/>
      <c r="F61" s="217"/>
      <c r="G61" s="31"/>
      <c r="H61" s="31"/>
      <c r="I61" s="31"/>
      <c r="J61" s="31"/>
      <c r="K61" s="31"/>
      <c r="L61" s="31"/>
      <c r="M61" s="31"/>
      <c r="N61" s="31"/>
      <c r="O61" s="31"/>
      <c r="P61" s="31"/>
      <c r="Q61" s="31"/>
    </row>
    <row r="62" spans="1:17" x14ac:dyDescent="0.2">
      <c r="A62" s="15" t="s">
        <v>149</v>
      </c>
      <c r="B62" s="613"/>
      <c r="C62" s="38">
        <v>0</v>
      </c>
      <c r="E62" s="31"/>
      <c r="F62" s="217"/>
      <c r="G62" s="31"/>
      <c r="H62" s="31"/>
      <c r="I62" s="31"/>
      <c r="J62" s="31"/>
      <c r="K62" s="31"/>
      <c r="L62" s="31"/>
      <c r="M62" s="31"/>
      <c r="N62" s="31"/>
      <c r="O62" s="31"/>
      <c r="P62" s="31"/>
      <c r="Q62" s="31"/>
    </row>
    <row r="63" spans="1:17" x14ac:dyDescent="0.2">
      <c r="A63" s="17" t="s">
        <v>316</v>
      </c>
      <c r="B63" s="613"/>
      <c r="C63" s="38">
        <v>0</v>
      </c>
      <c r="E63" s="31"/>
      <c r="F63" s="217"/>
      <c r="G63" s="31"/>
      <c r="H63" s="31"/>
      <c r="I63" s="31"/>
      <c r="J63" s="31"/>
      <c r="K63" s="31"/>
      <c r="L63" s="31"/>
      <c r="M63" s="31"/>
      <c r="N63" s="31"/>
      <c r="O63" s="31"/>
      <c r="P63" s="31"/>
      <c r="Q63" s="31"/>
    </row>
    <row r="64" spans="1:17" x14ac:dyDescent="0.2">
      <c r="A64" s="15" t="s">
        <v>315</v>
      </c>
      <c r="B64" s="613"/>
      <c r="C64" s="38">
        <v>0</v>
      </c>
      <c r="E64" s="31"/>
      <c r="F64" s="217"/>
      <c r="G64" s="31"/>
      <c r="H64" s="31"/>
      <c r="I64" s="31"/>
      <c r="J64" s="31"/>
      <c r="K64" s="31"/>
      <c r="L64" s="31"/>
      <c r="M64" s="31"/>
      <c r="N64" s="31"/>
      <c r="O64" s="31"/>
      <c r="P64" s="31"/>
      <c r="Q64" s="31"/>
    </row>
    <row r="65" spans="1:17" x14ac:dyDescent="0.2">
      <c r="A65" s="693" t="s">
        <v>308</v>
      </c>
      <c r="B65" s="694"/>
      <c r="C65" s="35">
        <v>0</v>
      </c>
      <c r="E65" s="31"/>
      <c r="F65" s="217"/>
      <c r="G65" s="31"/>
      <c r="H65" s="31"/>
      <c r="I65" s="31"/>
      <c r="J65" s="31"/>
      <c r="K65" s="31"/>
      <c r="L65" s="31"/>
      <c r="M65" s="31"/>
      <c r="N65" s="31"/>
      <c r="O65" s="31"/>
      <c r="P65" s="31"/>
      <c r="Q65" s="31"/>
    </row>
    <row r="66" spans="1:17" x14ac:dyDescent="0.2">
      <c r="A66" s="612" t="s">
        <v>306</v>
      </c>
      <c r="B66" s="613"/>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v>0</v>
      </c>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612" t="s">
        <v>164</v>
      </c>
      <c r="B70" s="613"/>
      <c r="C70" s="40" t="e">
        <f ca="1">(C67+C68)*C20+C61*(C20-C65)</f>
        <v>#N/A</v>
      </c>
      <c r="E70" s="31"/>
      <c r="F70" s="217"/>
      <c r="G70" s="31"/>
      <c r="H70" s="31"/>
      <c r="I70" s="31"/>
      <c r="J70" s="31"/>
      <c r="K70" s="31"/>
      <c r="L70" s="31"/>
      <c r="M70" s="31"/>
      <c r="N70" s="31"/>
      <c r="O70" s="31"/>
      <c r="P70" s="31"/>
      <c r="Q70" s="31"/>
    </row>
    <row r="71" spans="1:17" x14ac:dyDescent="0.2">
      <c r="A71" s="612" t="s">
        <v>165</v>
      </c>
      <c r="B71" s="613"/>
      <c r="C71" s="41" t="e">
        <f ca="1">(C67+C68)/C15</f>
        <v>#N/A</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v>0</v>
      </c>
      <c r="E73" s="46"/>
    </row>
    <row r="74" spans="1:17" x14ac:dyDescent="0.2">
      <c r="A74" s="695" t="s">
        <v>153</v>
      </c>
      <c r="B74" s="696"/>
      <c r="C74" s="38">
        <v>0</v>
      </c>
      <c r="E74" s="46"/>
    </row>
    <row r="75" spans="1:17" x14ac:dyDescent="0.2">
      <c r="A75" s="695" t="s">
        <v>154</v>
      </c>
      <c r="B75" s="696"/>
      <c r="C75" s="38">
        <v>0</v>
      </c>
      <c r="E75" s="46"/>
    </row>
    <row r="76" spans="1:17" x14ac:dyDescent="0.2">
      <c r="A76" s="689" t="s">
        <v>166</v>
      </c>
      <c r="B76" s="690"/>
      <c r="C76" s="35">
        <v>0</v>
      </c>
    </row>
    <row r="77" spans="1:17" x14ac:dyDescent="0.2">
      <c r="A77" s="689" t="s">
        <v>167</v>
      </c>
      <c r="B77" s="690"/>
      <c r="C77" s="36">
        <f>ROUND(IF(C73=0,0,C21-C73),0)</f>
        <v>0</v>
      </c>
      <c r="D77" s="46"/>
    </row>
    <row r="78" spans="1:17" x14ac:dyDescent="0.2">
      <c r="A78" s="689" t="s">
        <v>168</v>
      </c>
      <c r="B78" s="690"/>
      <c r="C78" s="47">
        <v>0</v>
      </c>
    </row>
    <row r="79" spans="1:17" x14ac:dyDescent="0.2">
      <c r="A79" s="689" t="s">
        <v>169</v>
      </c>
      <c r="B79" s="690"/>
      <c r="C79" s="39">
        <f>C73*C76</f>
        <v>0</v>
      </c>
    </row>
    <row r="80" spans="1:17" x14ac:dyDescent="0.2">
      <c r="A80" s="610" t="s">
        <v>170</v>
      </c>
      <c r="B80" s="611"/>
      <c r="C80" s="40" t="e">
        <f ca="1">(C77+C78)*C25+C73*(C25-C76)</f>
        <v>#N/A</v>
      </c>
    </row>
    <row r="81" spans="1:3" x14ac:dyDescent="0.2">
      <c r="A81" s="689" t="s">
        <v>171</v>
      </c>
      <c r="B81" s="690"/>
      <c r="C81" s="41" t="e">
        <f ca="1">(C77+C78)/C21</f>
        <v>#N/A</v>
      </c>
    </row>
    <row r="82" spans="1:3" x14ac:dyDescent="0.2">
      <c r="A82" s="42"/>
      <c r="B82" s="43"/>
      <c r="C82" s="44"/>
    </row>
    <row r="83" spans="1:3" x14ac:dyDescent="0.2">
      <c r="A83" s="689" t="s">
        <v>172</v>
      </c>
      <c r="B83" s="690"/>
      <c r="C83" s="48">
        <v>0</v>
      </c>
    </row>
    <row r="84" spans="1:3" ht="15" x14ac:dyDescent="0.3">
      <c r="A84" s="689" t="s">
        <v>173</v>
      </c>
      <c r="B84" s="690"/>
      <c r="C84" s="232" t="e">
        <f ca="1">B26-C83</f>
        <v>#N/A</v>
      </c>
    </row>
    <row r="85" spans="1:3" ht="13.5" thickBot="1" x14ac:dyDescent="0.25">
      <c r="A85" s="193" t="s">
        <v>174</v>
      </c>
      <c r="B85" s="194"/>
      <c r="C85" s="233" t="e">
        <f ca="1">IF(B26&gt;0,C84/B26,0)</f>
        <v>#N/A</v>
      </c>
    </row>
    <row r="86" spans="1:3" ht="13.5" thickBot="1" x14ac:dyDescent="0.25">
      <c r="C86" s="30"/>
    </row>
    <row r="87" spans="1:3" ht="13.5" thickBot="1" x14ac:dyDescent="0.25">
      <c r="A87" s="697" t="s">
        <v>175</v>
      </c>
      <c r="B87" s="698"/>
      <c r="C87" s="49" t="e">
        <f ca="1">C70+C80+C84</f>
        <v>#N/A</v>
      </c>
    </row>
    <row r="88" spans="1:3" ht="13.5" thickBot="1" x14ac:dyDescent="0.25">
      <c r="A88" s="699" t="s">
        <v>9</v>
      </c>
      <c r="B88" s="700"/>
      <c r="C88" s="50" t="e">
        <f ca="1">C107</f>
        <v>#N/A</v>
      </c>
    </row>
    <row r="90" spans="1:3" x14ac:dyDescent="0.2">
      <c r="A90" s="701" t="s">
        <v>8</v>
      </c>
      <c r="B90" s="701"/>
      <c r="C90" s="701"/>
    </row>
    <row r="91" spans="1:3" x14ac:dyDescent="0.2">
      <c r="A91" s="609" t="s">
        <v>7</v>
      </c>
      <c r="B91" s="609" t="s">
        <v>6</v>
      </c>
      <c r="C91" s="609" t="s">
        <v>5</v>
      </c>
    </row>
    <row r="92" spans="1:3" x14ac:dyDescent="0.2">
      <c r="A92" s="51">
        <v>1</v>
      </c>
      <c r="B92" s="52" t="e">
        <f ca="1">$C$87</f>
        <v>#N/A</v>
      </c>
      <c r="C92" s="53" t="e">
        <f t="shared" ref="C92:C106" ca="1" si="1">B92/(1+$B$109)^A92</f>
        <v>#N/A</v>
      </c>
    </row>
    <row r="93" spans="1:3" x14ac:dyDescent="0.2">
      <c r="A93" s="51">
        <v>2</v>
      </c>
      <c r="B93" s="52" t="e">
        <f t="shared" ref="B93:B106" ca="1" si="2">$C$87</f>
        <v>#N/A</v>
      </c>
      <c r="C93" s="53" t="e">
        <f t="shared" ca="1" si="1"/>
        <v>#N/A</v>
      </c>
    </row>
    <row r="94" spans="1:3" x14ac:dyDescent="0.2">
      <c r="A94" s="51">
        <v>3</v>
      </c>
      <c r="B94" s="52" t="e">
        <f t="shared" ca="1" si="2"/>
        <v>#N/A</v>
      </c>
      <c r="C94" s="53" t="e">
        <f t="shared" ca="1" si="1"/>
        <v>#N/A</v>
      </c>
    </row>
    <row r="95" spans="1:3" x14ac:dyDescent="0.2">
      <c r="A95" s="51">
        <v>4</v>
      </c>
      <c r="B95" s="52" t="e">
        <f t="shared" ca="1" si="2"/>
        <v>#N/A</v>
      </c>
      <c r="C95" s="53" t="e">
        <f t="shared" ca="1" si="1"/>
        <v>#N/A</v>
      </c>
    </row>
    <row r="96" spans="1:3" x14ac:dyDescent="0.2">
      <c r="A96" s="51">
        <v>5</v>
      </c>
      <c r="B96" s="52" t="e">
        <f t="shared" ca="1" si="2"/>
        <v>#N/A</v>
      </c>
      <c r="C96" s="53" t="e">
        <f t="shared" ca="1" si="1"/>
        <v>#N/A</v>
      </c>
    </row>
    <row r="97" spans="1:17" x14ac:dyDescent="0.2">
      <c r="A97" s="51">
        <v>6</v>
      </c>
      <c r="B97" s="52" t="e">
        <f t="shared" ca="1" si="2"/>
        <v>#N/A</v>
      </c>
      <c r="C97" s="53" t="e">
        <f t="shared" ca="1" si="1"/>
        <v>#N/A</v>
      </c>
    </row>
    <row r="98" spans="1:17" x14ac:dyDescent="0.2">
      <c r="A98" s="51">
        <v>7</v>
      </c>
      <c r="B98" s="52" t="e">
        <f t="shared" ca="1" si="2"/>
        <v>#N/A</v>
      </c>
      <c r="C98" s="53" t="e">
        <f t="shared" ca="1" si="1"/>
        <v>#N/A</v>
      </c>
    </row>
    <row r="99" spans="1:17" x14ac:dyDescent="0.2">
      <c r="A99" s="51">
        <v>8</v>
      </c>
      <c r="B99" s="52" t="e">
        <f t="shared" ca="1" si="2"/>
        <v>#N/A</v>
      </c>
      <c r="C99" s="53" t="e">
        <f t="shared" ca="1" si="1"/>
        <v>#N/A</v>
      </c>
    </row>
    <row r="100" spans="1:17" x14ac:dyDescent="0.2">
      <c r="A100" s="51">
        <v>9</v>
      </c>
      <c r="B100" s="52" t="e">
        <f t="shared" ca="1" si="2"/>
        <v>#N/A</v>
      </c>
      <c r="C100" s="53" t="e">
        <f t="shared" ca="1" si="1"/>
        <v>#N/A</v>
      </c>
    </row>
    <row r="101" spans="1:17" x14ac:dyDescent="0.2">
      <c r="A101" s="51">
        <v>10</v>
      </c>
      <c r="B101" s="52" t="e">
        <f t="shared" ca="1" si="2"/>
        <v>#N/A</v>
      </c>
      <c r="C101" s="53" t="e">
        <f t="shared" ca="1" si="1"/>
        <v>#N/A</v>
      </c>
    </row>
    <row r="102" spans="1:17" s="30" customFormat="1" x14ac:dyDescent="0.2">
      <c r="A102" s="51">
        <v>11</v>
      </c>
      <c r="B102" s="52" t="e">
        <f t="shared" ca="1" si="2"/>
        <v>#N/A</v>
      </c>
      <c r="C102" s="53" t="e">
        <f t="shared" ca="1" si="1"/>
        <v>#N/A</v>
      </c>
      <c r="D102" s="1"/>
      <c r="E102" s="1"/>
      <c r="G102" s="1"/>
      <c r="H102" s="1"/>
      <c r="I102" s="1"/>
      <c r="J102" s="1"/>
      <c r="K102" s="1"/>
      <c r="L102" s="1"/>
      <c r="M102" s="1"/>
      <c r="N102" s="1"/>
      <c r="O102" s="1"/>
      <c r="P102" s="1"/>
      <c r="Q102" s="1"/>
    </row>
    <row r="103" spans="1:17" s="30" customFormat="1" x14ac:dyDescent="0.2">
      <c r="A103" s="51">
        <v>12</v>
      </c>
      <c r="B103" s="52" t="e">
        <f t="shared" ca="1" si="2"/>
        <v>#N/A</v>
      </c>
      <c r="C103" s="53" t="e">
        <f t="shared" ca="1" si="1"/>
        <v>#N/A</v>
      </c>
      <c r="D103" s="1"/>
      <c r="E103" s="1"/>
      <c r="G103" s="1"/>
      <c r="H103" s="1"/>
      <c r="I103" s="1"/>
      <c r="J103" s="1"/>
      <c r="K103" s="1"/>
      <c r="L103" s="1"/>
      <c r="M103" s="1"/>
      <c r="N103" s="1"/>
      <c r="O103" s="1"/>
      <c r="P103" s="1"/>
      <c r="Q103" s="1"/>
    </row>
    <row r="104" spans="1:17" s="30" customFormat="1" x14ac:dyDescent="0.2">
      <c r="A104" s="51">
        <v>13</v>
      </c>
      <c r="B104" s="52" t="e">
        <f t="shared" ca="1" si="2"/>
        <v>#N/A</v>
      </c>
      <c r="C104" s="53" t="e">
        <f t="shared" ca="1" si="1"/>
        <v>#N/A</v>
      </c>
      <c r="D104" s="1"/>
      <c r="E104" s="1"/>
      <c r="G104" s="1"/>
      <c r="H104" s="1"/>
      <c r="I104" s="1"/>
      <c r="J104" s="1"/>
      <c r="K104" s="1"/>
      <c r="L104" s="1"/>
      <c r="M104" s="1"/>
      <c r="N104" s="1"/>
      <c r="O104" s="1"/>
      <c r="P104" s="1"/>
      <c r="Q104" s="1"/>
    </row>
    <row r="105" spans="1:17" s="30" customFormat="1" x14ac:dyDescent="0.2">
      <c r="A105" s="51">
        <v>14</v>
      </c>
      <c r="B105" s="52" t="e">
        <f t="shared" ca="1" si="2"/>
        <v>#N/A</v>
      </c>
      <c r="C105" s="53" t="e">
        <f t="shared" ca="1" si="1"/>
        <v>#N/A</v>
      </c>
      <c r="D105" s="1"/>
      <c r="E105" s="1"/>
      <c r="G105" s="1"/>
      <c r="H105" s="1"/>
      <c r="I105" s="1"/>
      <c r="J105" s="1"/>
      <c r="K105" s="1"/>
      <c r="L105" s="1"/>
      <c r="M105" s="1"/>
      <c r="N105" s="1"/>
      <c r="O105" s="1"/>
      <c r="P105" s="1"/>
      <c r="Q105" s="1"/>
    </row>
    <row r="106" spans="1:17" s="30" customFormat="1" x14ac:dyDescent="0.2">
      <c r="A106" s="51">
        <v>15</v>
      </c>
      <c r="B106" s="52" t="e">
        <f t="shared" ca="1" si="2"/>
        <v>#N/A</v>
      </c>
      <c r="C106" s="53" t="e">
        <f t="shared" ca="1" si="1"/>
        <v>#N/A</v>
      </c>
      <c r="D106" s="1"/>
      <c r="E106" s="1"/>
      <c r="G106" s="1"/>
      <c r="H106" s="1"/>
      <c r="I106" s="1"/>
      <c r="J106" s="1"/>
      <c r="K106" s="1"/>
      <c r="L106" s="1"/>
      <c r="M106" s="1"/>
      <c r="N106" s="1"/>
      <c r="O106" s="1"/>
      <c r="P106" s="1"/>
      <c r="Q106" s="1"/>
    </row>
    <row r="107" spans="1:17" s="30" customFormat="1" x14ac:dyDescent="0.2">
      <c r="A107" s="702" t="s">
        <v>4</v>
      </c>
      <c r="B107" s="702"/>
      <c r="C107" s="54" t="e">
        <f ca="1">SUM(C92:C106)</f>
        <v>#N/A</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v>0</v>
      </c>
      <c r="C114" s="59">
        <f t="shared" ref="C114:C119" si="3">B114*$C$61</f>
        <v>0</v>
      </c>
      <c r="D114" s="237">
        <v>0</v>
      </c>
      <c r="E114" s="235" t="s">
        <v>491</v>
      </c>
      <c r="G114" s="1"/>
      <c r="H114" s="1"/>
      <c r="I114" s="1"/>
      <c r="J114" s="1"/>
      <c r="K114" s="1"/>
      <c r="L114" s="1"/>
      <c r="M114" s="1"/>
      <c r="N114" s="1"/>
      <c r="O114" s="1"/>
      <c r="P114" s="1"/>
      <c r="Q114" s="1"/>
    </row>
    <row r="115" spans="1:17" s="30" customFormat="1" x14ac:dyDescent="0.2">
      <c r="A115" s="241" t="s">
        <v>318</v>
      </c>
      <c r="B115" s="234">
        <v>0</v>
      </c>
      <c r="C115" s="59">
        <f t="shared" si="3"/>
        <v>0</v>
      </c>
      <c r="D115" s="237">
        <v>0</v>
      </c>
      <c r="E115" s="235">
        <v>0</v>
      </c>
      <c r="G115" s="1"/>
      <c r="H115" s="1"/>
      <c r="I115" s="1"/>
      <c r="J115" s="1"/>
      <c r="K115" s="1"/>
      <c r="L115" s="1"/>
      <c r="M115" s="1"/>
      <c r="N115" s="1"/>
      <c r="O115" s="1"/>
      <c r="P115" s="1"/>
      <c r="Q115" s="1"/>
    </row>
    <row r="116" spans="1:17" s="30" customFormat="1" x14ac:dyDescent="0.2">
      <c r="A116" s="241" t="s">
        <v>319</v>
      </c>
      <c r="B116" s="234">
        <v>0</v>
      </c>
      <c r="C116" s="59">
        <f t="shared" si="3"/>
        <v>0</v>
      </c>
      <c r="D116" s="237">
        <v>0</v>
      </c>
      <c r="E116" s="235">
        <v>0</v>
      </c>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v>0</v>
      </c>
      <c r="C124" s="61">
        <v>3000</v>
      </c>
    </row>
    <row r="125" spans="1:17" x14ac:dyDescent="0.2">
      <c r="A125" s="58" t="s">
        <v>184</v>
      </c>
      <c r="B125" s="61">
        <v>0</v>
      </c>
      <c r="C125" s="61">
        <v>2500</v>
      </c>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47"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DC1B2-739D-4273-8FB1-44B2585BA212}">
  <sheetPr>
    <tabColor rgb="FFFF0000"/>
    <pageSetUpPr fitToPage="1"/>
  </sheetPr>
  <dimension ref="A1:Q125"/>
  <sheetViews>
    <sheetView topLeftCell="A34" workbookViewId="0">
      <selection activeCell="I50" sqref="I50"/>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e">
        <f ca="1">INDEX('Referenčne količine'!$C$4:$C$9,MATCH('OB011'!B6,'Referenčne količine'!$B$4:$B$9,0))</f>
        <v>#N/A</v>
      </c>
      <c r="C4" s="675"/>
    </row>
    <row r="5" spans="1:7" x14ac:dyDescent="0.2">
      <c r="A5" s="4" t="s">
        <v>16</v>
      </c>
      <c r="B5" s="676" t="e">
        <f ca="1">INDEX('Referenčne količine'!$D$4:$D$9,MATCH('OB011'!B6,'Referenčne količine'!$B$4:$B$9,0))</f>
        <v>#N/A</v>
      </c>
      <c r="C5" s="677"/>
    </row>
    <row r="6" spans="1:7" x14ac:dyDescent="0.2">
      <c r="A6" s="4" t="s">
        <v>15</v>
      </c>
      <c r="B6" s="676" t="str">
        <f ca="1">RIGHT(CELL("filename",A1),5)</f>
        <v>OB011</v>
      </c>
      <c r="C6" s="677"/>
    </row>
    <row r="7" spans="1:7" x14ac:dyDescent="0.2">
      <c r="A7" s="4" t="s">
        <v>14</v>
      </c>
      <c r="B7" s="678" t="e">
        <f ca="1">INDEX('Referenčne količine'!$G$4:$G$9,MATCH('OB011'!B6,'Referenčne količine'!$B$4:$B$9,0))</f>
        <v>#N/A</v>
      </c>
      <c r="C7" s="679"/>
      <c r="F7" s="214"/>
      <c r="G7" s="5"/>
    </row>
    <row r="8" spans="1:7" x14ac:dyDescent="0.2">
      <c r="A8" s="4" t="s">
        <v>294</v>
      </c>
      <c r="B8" s="680" t="e">
        <f ca="1">INDEX('Referenčne količine'!$P$4:$P$9,MATCH('OB011'!B6,'Referenčne količine'!$B$4:$B$9,0))</f>
        <v>#N/A</v>
      </c>
      <c r="C8" s="681"/>
      <c r="F8" s="214"/>
      <c r="G8" s="5"/>
    </row>
    <row r="9" spans="1:7" x14ac:dyDescent="0.2">
      <c r="A9" s="4" t="s">
        <v>295</v>
      </c>
      <c r="B9" s="680" t="e">
        <f ca="1">INDEX('Referenčne količine'!$W$4:$W$9,MATCH('OB011'!B6,'Referenčne količine'!$B$4:$B$9,0))</f>
        <v>#N/A</v>
      </c>
      <c r="C9" s="681"/>
      <c r="F9" s="214"/>
      <c r="G9" s="5"/>
    </row>
    <row r="10" spans="1:7" ht="13.5" thickBot="1" x14ac:dyDescent="0.25">
      <c r="A10" s="213" t="s">
        <v>296</v>
      </c>
      <c r="B10" s="682" t="e">
        <f ca="1">INDEX('Referenčne količine'!$AD$4:$AD$9,MATCH('OB011'!B6,'Referenčne količine'!$B$4:$B$9,0))</f>
        <v>#N/A</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t="e">
        <f ca="1">INDEX('Referenčne količine'!$AK$4:$AK$9,MATCH('OB011'!$B$6,'Referenčne količine'!$B$4:$B$9,0))</f>
        <v>#N/A</v>
      </c>
      <c r="C14" s="11" t="e">
        <f ca="1">INDEX('Referenčne količine'!$AS$4:$AS$9,MATCH('OB011'!$B$6,'Referenčne količine'!$B$4:$B$9,0))</f>
        <v>#N/A</v>
      </c>
      <c r="E14" s="12"/>
      <c r="F14" s="215"/>
    </row>
    <row r="15" spans="1:7" x14ac:dyDescent="0.2">
      <c r="A15" s="13" t="s">
        <v>148</v>
      </c>
      <c r="B15" s="14" t="e">
        <f ca="1">INDEX('Referenčne količine'!$AM$4:$AM$9,MATCH('OB011'!$B$6,'Referenčne količine'!$B$4:$B$9,0))</f>
        <v>#N/A</v>
      </c>
      <c r="C15" s="14" t="e">
        <f ca="1">INDEX('Referenčne količine'!$AT$4:$AT$9,MATCH('OB011'!$B$6,'Referenčne količine'!$B$4:$B$9,0))</f>
        <v>#N/A</v>
      </c>
      <c r="E15" s="12"/>
      <c r="F15" s="215"/>
    </row>
    <row r="16" spans="1:7" x14ac:dyDescent="0.2">
      <c r="A16" s="15" t="s">
        <v>149</v>
      </c>
      <c r="B16" s="16" t="e">
        <f ca="1">INDEX('Referenčne količine'!$AO$4:$AO$9,MATCH('OB011'!$B$6,'Referenčne količine'!$B$4:$B$9,0))</f>
        <v>#N/A</v>
      </c>
      <c r="C16" s="16" t="e">
        <f ca="1">INDEX('Referenčne količine'!$AW$4:$AW$9,MATCH('OB011'!$B$6,'Referenčne količine'!$B$4:$B$9,0))</f>
        <v>#N/A</v>
      </c>
      <c r="E16" s="5"/>
      <c r="F16" s="214"/>
    </row>
    <row r="17" spans="1:6" x14ac:dyDescent="0.2">
      <c r="A17" s="17" t="s">
        <v>316</v>
      </c>
      <c r="B17" s="16" t="e">
        <f ca="1">INDEX('Referenčne količine'!$AP$4:$AP$9,MATCH('OB011'!$B$6,'Referenčne količine'!$B$4:$B$9,0))</f>
        <v>#N/A</v>
      </c>
      <c r="C17" s="16" t="e">
        <f ca="1">INDEX('Referenčne količine'!$AX$4:$AX$9,MATCH('OB011'!$B$6,'Referenčne količine'!$B$4:$B$9,0))</f>
        <v>#N/A</v>
      </c>
      <c r="E17" s="5"/>
      <c r="F17" s="214"/>
    </row>
    <row r="18" spans="1:6" x14ac:dyDescent="0.2">
      <c r="A18" s="15" t="s">
        <v>315</v>
      </c>
      <c r="B18" s="16" t="e">
        <f ca="1">INDEX('Referenčne količine'!$AQ$4:$AQ$9,MATCH('OB011'!$B$6,'Referenčne količine'!$B$4:$B$9,0))</f>
        <v>#N/A</v>
      </c>
      <c r="C18" s="16" t="e">
        <f ca="1">INDEX('Referenčne količine'!$AY$4:$AY$9,MATCH('OB011'!$B$6,'Referenčne količine'!$B$4:$B$9,0))</f>
        <v>#N/A</v>
      </c>
      <c r="E18" s="12"/>
      <c r="F18" s="215"/>
    </row>
    <row r="19" spans="1:6" x14ac:dyDescent="0.2">
      <c r="A19" s="15" t="s">
        <v>150</v>
      </c>
      <c r="B19" s="18" t="e">
        <f ca="1">INDEX('Referenčne količine'!$AL$4:$AL$9,MATCH('OB011'!$B$6,'Referenčne količine'!$B$4:$B$9,0))</f>
        <v>#N/A</v>
      </c>
      <c r="C19" s="18" t="e">
        <f ca="1">INDEX('Referenčne količine'!$AV$4:$AV$9,MATCH('OB011'!$B$6,'Referenčne količine'!$B$4:$B$9,0))</f>
        <v>#N/A</v>
      </c>
      <c r="E19" s="12"/>
      <c r="F19" s="215"/>
    </row>
    <row r="20" spans="1:6" ht="13.5" thickBot="1" x14ac:dyDescent="0.25">
      <c r="A20" s="19" t="s">
        <v>151</v>
      </c>
      <c r="B20" s="20" t="e">
        <f ca="1">INDEX('Referenčne količine'!$AN$4:$AN$9,MATCH('OB011'!$B$6,'Referenčne količine'!$B$4:$B$9,0))</f>
        <v>#N/A</v>
      </c>
      <c r="C20" s="20" t="e">
        <f ca="1">INDEX('Referenčne količine'!$AN$4:$AN$9,MATCH('OB011'!$B$6,'Referenčne količine'!$B$4:$B$9,0))</f>
        <v>#N/A</v>
      </c>
      <c r="E20" s="12"/>
      <c r="F20" s="215"/>
    </row>
    <row r="21" spans="1:6" x14ac:dyDescent="0.2">
      <c r="A21" s="9" t="s">
        <v>152</v>
      </c>
      <c r="B21" s="10" t="e">
        <f ca="1">INDEX('Referenčne količine'!$AZ$4:$AZ$9,MATCH('OB011'!$B$6,'Referenčne količine'!$B$4:$B$9,0))</f>
        <v>#N/A</v>
      </c>
      <c r="C21" s="10" t="e">
        <f ca="1">INDEX('Referenčne količine'!$BF$4:$BF$9,MATCH('OB011'!$B$6,'Referenčne količine'!$B$4:$B$9,0))</f>
        <v>#N/A</v>
      </c>
      <c r="E21" s="12"/>
      <c r="F21" s="215"/>
    </row>
    <row r="22" spans="1:6" x14ac:dyDescent="0.2">
      <c r="A22" s="21" t="s">
        <v>153</v>
      </c>
      <c r="B22" s="14" t="e">
        <f ca="1">INDEX('Referenčne količine'!$BC$4:$BC$9,MATCH('OB011'!$B$6,'Referenčne količine'!$B$4:$B$9,0))</f>
        <v>#N/A</v>
      </c>
      <c r="C22" s="14" t="e">
        <f ca="1">INDEX('Referenčne količine'!$BH$4:$BH$9,MATCH('OB011'!$B$6,'Referenčne količine'!$B$4:$B$9,0))</f>
        <v>#N/A</v>
      </c>
      <c r="E22" s="12"/>
      <c r="F22" s="215"/>
    </row>
    <row r="23" spans="1:6" x14ac:dyDescent="0.2">
      <c r="A23" s="21" t="s">
        <v>154</v>
      </c>
      <c r="B23" s="14" t="e">
        <f ca="1">INDEX('Referenčne količine'!$BD$4:$BD$9,MATCH('OB011'!$B$6,'Referenčne količine'!$B$4:$B$9,0))</f>
        <v>#N/A</v>
      </c>
      <c r="C23" s="14" t="e">
        <f ca="1">INDEX('Referenčne količine'!$BI$4:$BI$9,MATCH('OB011'!$B$6,'Referenčne količine'!$B$4:$B$9,0))</f>
        <v>#N/A</v>
      </c>
      <c r="E23" s="12"/>
      <c r="F23" s="215"/>
    </row>
    <row r="24" spans="1:6" x14ac:dyDescent="0.2">
      <c r="A24" s="22" t="s">
        <v>155</v>
      </c>
      <c r="B24" s="23" t="e">
        <f ca="1">INDEX('Referenčne količine'!$BA$4:$BA$9,MATCH('OB011'!$B$6,'Referenčne količine'!$B$4:$B$9,0))</f>
        <v>#N/A</v>
      </c>
      <c r="C24" s="24" t="e">
        <f ca="1">INDEX('Referenčne količine'!$BG$4:$BG$9,MATCH('OB011'!$B$6,'Referenčne količine'!$B$4:$B$9,0))</f>
        <v>#N/A</v>
      </c>
      <c r="D24" s="25"/>
      <c r="E24" s="12"/>
      <c r="F24" s="215"/>
    </row>
    <row r="25" spans="1:6" ht="13.5" thickBot="1" x14ac:dyDescent="0.25">
      <c r="A25" s="26" t="s">
        <v>156</v>
      </c>
      <c r="B25" s="62" t="e">
        <f ca="1">INDEX('Referenčne količine'!$BB$4:$BB$9,MATCH('OB011'!$B$6,'Referenčne količine'!$B$4:$B$9,0))</f>
        <v>#N/A</v>
      </c>
      <c r="C25" s="62" t="e">
        <f ca="1">INDEX('Referenčne količine'!$BB$4:$BB$9,MATCH('OB011'!$B$6,'Referenčne količine'!$B$4:$B$9,0))</f>
        <v>#N/A</v>
      </c>
      <c r="E25" s="12"/>
      <c r="F25" s="215"/>
    </row>
    <row r="26" spans="1:6" ht="14.45" customHeight="1" thickBot="1" x14ac:dyDescent="0.25">
      <c r="A26" s="27" t="s">
        <v>157</v>
      </c>
      <c r="B26" s="28" t="e">
        <f ca="1">INDEX('Referenčne količine'!$BK$4:$BK$9,MATCH('OB011'!$B$6,'Referenčne količine'!$B$4:$B$9,0))</f>
        <v>#N/A</v>
      </c>
      <c r="C26" s="29"/>
      <c r="E26" s="12"/>
      <c r="F26" s="215"/>
    </row>
    <row r="27" spans="1:6" ht="13.5" thickBot="1" x14ac:dyDescent="0.25">
      <c r="F27" s="229">
        <f ca="1">VALUE(RIGHT(CELL("filename",A1),2))</f>
        <v>11</v>
      </c>
    </row>
    <row r="28" spans="1:6" ht="25.5" x14ac:dyDescent="0.2">
      <c r="A28" s="219" t="s">
        <v>158</v>
      </c>
      <c r="B28" s="221" t="s">
        <v>299</v>
      </c>
      <c r="C28" s="222" t="s">
        <v>300</v>
      </c>
      <c r="D28" s="221" t="s">
        <v>302</v>
      </c>
      <c r="E28" s="221" t="s">
        <v>301</v>
      </c>
      <c r="F28" s="230"/>
    </row>
    <row r="29" spans="1:6" x14ac:dyDescent="0.2">
      <c r="A29" s="218" t="s">
        <v>491</v>
      </c>
      <c r="B29" s="226" t="s">
        <v>491</v>
      </c>
      <c r="C29" s="226" t="s">
        <v>491</v>
      </c>
      <c r="D29" s="226" t="s">
        <v>491</v>
      </c>
      <c r="E29" s="226" t="s">
        <v>491</v>
      </c>
      <c r="F29" s="231">
        <v>1</v>
      </c>
    </row>
    <row r="30" spans="1:6" ht="13.15" customHeight="1" x14ac:dyDescent="0.2">
      <c r="A30" s="218" t="s">
        <v>491</v>
      </c>
      <c r="B30" s="226" t="s">
        <v>491</v>
      </c>
      <c r="C30" s="226" t="s">
        <v>491</v>
      </c>
      <c r="D30" s="226" t="s">
        <v>491</v>
      </c>
      <c r="E30" s="226" t="s">
        <v>491</v>
      </c>
      <c r="F30" s="231">
        <f t="shared" ref="F30:F53" si="0">F29+1</f>
        <v>2</v>
      </c>
    </row>
    <row r="31" spans="1:6" x14ac:dyDescent="0.2">
      <c r="A31" s="218" t="s">
        <v>491</v>
      </c>
      <c r="B31" s="226" t="s">
        <v>491</v>
      </c>
      <c r="C31" s="226" t="s">
        <v>491</v>
      </c>
      <c r="D31" s="226" t="s">
        <v>491</v>
      </c>
      <c r="E31" s="226" t="s">
        <v>491</v>
      </c>
      <c r="F31" s="231">
        <f t="shared" si="0"/>
        <v>3</v>
      </c>
    </row>
    <row r="32" spans="1:6" x14ac:dyDescent="0.2">
      <c r="A32" s="218" t="s">
        <v>491</v>
      </c>
      <c r="B32" s="226" t="s">
        <v>491</v>
      </c>
      <c r="C32" s="226" t="s">
        <v>491</v>
      </c>
      <c r="D32" s="226" t="s">
        <v>491</v>
      </c>
      <c r="E32" s="226" t="s">
        <v>491</v>
      </c>
      <c r="F32" s="231">
        <f t="shared" si="0"/>
        <v>4</v>
      </c>
    </row>
    <row r="33" spans="1:6" x14ac:dyDescent="0.2">
      <c r="A33" s="218" t="s">
        <v>491</v>
      </c>
      <c r="B33" s="226" t="s">
        <v>491</v>
      </c>
      <c r="C33" s="226" t="s">
        <v>491</v>
      </c>
      <c r="D33" s="226" t="s">
        <v>491</v>
      </c>
      <c r="E33" s="226" t="s">
        <v>491</v>
      </c>
      <c r="F33" s="231">
        <f t="shared" si="0"/>
        <v>5</v>
      </c>
    </row>
    <row r="34" spans="1:6" s="30" customFormat="1" x14ac:dyDescent="0.2">
      <c r="A34" s="218" t="s">
        <v>491</v>
      </c>
      <c r="B34" s="226" t="s">
        <v>491</v>
      </c>
      <c r="C34" s="226" t="s">
        <v>491</v>
      </c>
      <c r="D34" s="226" t="s">
        <v>491</v>
      </c>
      <c r="E34" s="226" t="s">
        <v>491</v>
      </c>
      <c r="F34" s="231">
        <f t="shared" si="0"/>
        <v>6</v>
      </c>
    </row>
    <row r="35" spans="1:6" x14ac:dyDescent="0.2">
      <c r="A35" s="218" t="s">
        <v>491</v>
      </c>
      <c r="B35" s="226" t="s">
        <v>491</v>
      </c>
      <c r="C35" s="226" t="s">
        <v>491</v>
      </c>
      <c r="D35" s="226" t="s">
        <v>491</v>
      </c>
      <c r="E35" s="226" t="s">
        <v>491</v>
      </c>
      <c r="F35" s="231">
        <f t="shared" si="0"/>
        <v>7</v>
      </c>
    </row>
    <row r="36" spans="1:6" x14ac:dyDescent="0.2">
      <c r="A36" s="218" t="s">
        <v>491</v>
      </c>
      <c r="B36" s="226" t="s">
        <v>491</v>
      </c>
      <c r="C36" s="226" t="s">
        <v>491</v>
      </c>
      <c r="D36" s="226" t="s">
        <v>491</v>
      </c>
      <c r="E36" s="226" t="s">
        <v>491</v>
      </c>
      <c r="F36" s="231">
        <f t="shared" si="0"/>
        <v>8</v>
      </c>
    </row>
    <row r="37" spans="1:6" s="30" customFormat="1" x14ac:dyDescent="0.2">
      <c r="A37" s="218" t="s">
        <v>491</v>
      </c>
      <c r="B37" s="226" t="s">
        <v>491</v>
      </c>
      <c r="C37" s="226" t="s">
        <v>491</v>
      </c>
      <c r="D37" s="226" t="s">
        <v>491</v>
      </c>
      <c r="E37" s="226" t="s">
        <v>491</v>
      </c>
      <c r="F37" s="231">
        <f t="shared" si="0"/>
        <v>9</v>
      </c>
    </row>
    <row r="38" spans="1:6" x14ac:dyDescent="0.2">
      <c r="A38" s="218" t="s">
        <v>491</v>
      </c>
      <c r="B38" s="226" t="s">
        <v>491</v>
      </c>
      <c r="C38" s="226" t="s">
        <v>491</v>
      </c>
      <c r="D38" s="226" t="s">
        <v>491</v>
      </c>
      <c r="E38" s="226" t="s">
        <v>491</v>
      </c>
      <c r="F38" s="231">
        <f t="shared" si="0"/>
        <v>10</v>
      </c>
    </row>
    <row r="39" spans="1:6" x14ac:dyDescent="0.2">
      <c r="A39" s="218" t="s">
        <v>491</v>
      </c>
      <c r="B39" s="226" t="s">
        <v>491</v>
      </c>
      <c r="C39" s="226" t="s">
        <v>491</v>
      </c>
      <c r="D39" s="226" t="s">
        <v>491</v>
      </c>
      <c r="E39" s="226" t="s">
        <v>491</v>
      </c>
      <c r="F39" s="231">
        <f t="shared" si="0"/>
        <v>11</v>
      </c>
    </row>
    <row r="40" spans="1:6" ht="13.15" customHeight="1" x14ac:dyDescent="0.2">
      <c r="A40" s="218" t="s">
        <v>491</v>
      </c>
      <c r="B40" s="226" t="s">
        <v>491</v>
      </c>
      <c r="C40" s="226" t="s">
        <v>491</v>
      </c>
      <c r="D40" s="226" t="s">
        <v>491</v>
      </c>
      <c r="E40" s="226" t="s">
        <v>491</v>
      </c>
      <c r="F40" s="231">
        <f t="shared" si="0"/>
        <v>12</v>
      </c>
    </row>
    <row r="41" spans="1:6" x14ac:dyDescent="0.2">
      <c r="A41" s="218" t="s">
        <v>491</v>
      </c>
      <c r="B41" s="226" t="s">
        <v>491</v>
      </c>
      <c r="C41" s="226" t="s">
        <v>491</v>
      </c>
      <c r="D41" s="226" t="s">
        <v>491</v>
      </c>
      <c r="E41" s="226" t="s">
        <v>491</v>
      </c>
      <c r="F41" s="231">
        <f t="shared" si="0"/>
        <v>13</v>
      </c>
    </row>
    <row r="42" spans="1:6" x14ac:dyDescent="0.2">
      <c r="A42" s="218" t="s">
        <v>491</v>
      </c>
      <c r="B42" s="226" t="s">
        <v>491</v>
      </c>
      <c r="C42" s="226" t="s">
        <v>491</v>
      </c>
      <c r="D42" s="226" t="s">
        <v>491</v>
      </c>
      <c r="E42" s="226" t="s">
        <v>491</v>
      </c>
      <c r="F42" s="231">
        <f t="shared" si="0"/>
        <v>14</v>
      </c>
    </row>
    <row r="43" spans="1:6" x14ac:dyDescent="0.2">
      <c r="A43" s="218" t="s">
        <v>491</v>
      </c>
      <c r="B43" s="226" t="s">
        <v>491</v>
      </c>
      <c r="C43" s="226" t="s">
        <v>491</v>
      </c>
      <c r="D43" s="226" t="s">
        <v>491</v>
      </c>
      <c r="E43" s="226" t="s">
        <v>491</v>
      </c>
      <c r="F43" s="231">
        <f t="shared" si="0"/>
        <v>15</v>
      </c>
    </row>
    <row r="44" spans="1:6" x14ac:dyDescent="0.2">
      <c r="A44" s="218" t="s">
        <v>491</v>
      </c>
      <c r="B44" s="226" t="s">
        <v>491</v>
      </c>
      <c r="C44" s="226" t="s">
        <v>491</v>
      </c>
      <c r="D44" s="226" t="s">
        <v>491</v>
      </c>
      <c r="E44" s="226" t="s">
        <v>491</v>
      </c>
      <c r="F44" s="231">
        <f t="shared" si="0"/>
        <v>16</v>
      </c>
    </row>
    <row r="45" spans="1:6" ht="15" customHeight="1" x14ac:dyDescent="0.2">
      <c r="A45" s="218" t="s">
        <v>491</v>
      </c>
      <c r="B45" s="226" t="s">
        <v>491</v>
      </c>
      <c r="C45" s="226" t="s">
        <v>491</v>
      </c>
      <c r="D45" s="226" t="s">
        <v>491</v>
      </c>
      <c r="E45" s="226" t="s">
        <v>491</v>
      </c>
      <c r="F45" s="231">
        <f t="shared" si="0"/>
        <v>17</v>
      </c>
    </row>
    <row r="46" spans="1:6" x14ac:dyDescent="0.2">
      <c r="A46" s="218" t="s">
        <v>491</v>
      </c>
      <c r="B46" s="226" t="s">
        <v>491</v>
      </c>
      <c r="C46" s="226" t="s">
        <v>491</v>
      </c>
      <c r="D46" s="226" t="s">
        <v>491</v>
      </c>
      <c r="E46" s="226" t="s">
        <v>491</v>
      </c>
      <c r="F46" s="231">
        <f t="shared" si="0"/>
        <v>18</v>
      </c>
    </row>
    <row r="47" spans="1:6" x14ac:dyDescent="0.2">
      <c r="A47" s="218" t="s">
        <v>491</v>
      </c>
      <c r="B47" s="226" t="s">
        <v>491</v>
      </c>
      <c r="C47" s="226" t="s">
        <v>491</v>
      </c>
      <c r="D47" s="226" t="s">
        <v>491</v>
      </c>
      <c r="E47" s="226" t="s">
        <v>491</v>
      </c>
      <c r="F47" s="231">
        <f t="shared" si="0"/>
        <v>19</v>
      </c>
    </row>
    <row r="48" spans="1:6" x14ac:dyDescent="0.2">
      <c r="A48" s="218" t="s">
        <v>491</v>
      </c>
      <c r="B48" s="226" t="s">
        <v>491</v>
      </c>
      <c r="C48" s="226" t="s">
        <v>491</v>
      </c>
      <c r="D48" s="226" t="s">
        <v>491</v>
      </c>
      <c r="E48" s="226" t="s">
        <v>491</v>
      </c>
      <c r="F48" s="231">
        <f t="shared" si="0"/>
        <v>20</v>
      </c>
    </row>
    <row r="49" spans="1:17" x14ac:dyDescent="0.2">
      <c r="A49" s="218" t="s">
        <v>491</v>
      </c>
      <c r="B49" s="226" t="s">
        <v>491</v>
      </c>
      <c r="C49" s="226" t="s">
        <v>491</v>
      </c>
      <c r="D49" s="226" t="s">
        <v>491</v>
      </c>
      <c r="E49" s="226" t="s">
        <v>491</v>
      </c>
      <c r="F49" s="231">
        <f t="shared" si="0"/>
        <v>21</v>
      </c>
    </row>
    <row r="50" spans="1:17" x14ac:dyDescent="0.2">
      <c r="A50" s="218" t="s">
        <v>491</v>
      </c>
      <c r="B50" s="226" t="s">
        <v>491</v>
      </c>
      <c r="C50" s="226" t="s">
        <v>491</v>
      </c>
      <c r="D50" s="226" t="s">
        <v>491</v>
      </c>
      <c r="E50" s="226" t="s">
        <v>491</v>
      </c>
      <c r="F50" s="231">
        <f t="shared" si="0"/>
        <v>22</v>
      </c>
    </row>
    <row r="51" spans="1:17" x14ac:dyDescent="0.2">
      <c r="A51" s="218" t="s">
        <v>491</v>
      </c>
      <c r="B51" s="226" t="s">
        <v>491</v>
      </c>
      <c r="C51" s="226" t="s">
        <v>491</v>
      </c>
      <c r="D51" s="226" t="s">
        <v>491</v>
      </c>
      <c r="E51" s="226" t="s">
        <v>491</v>
      </c>
      <c r="F51" s="231">
        <f t="shared" si="0"/>
        <v>23</v>
      </c>
    </row>
    <row r="52" spans="1:17" x14ac:dyDescent="0.2">
      <c r="A52" s="218" t="s">
        <v>491</v>
      </c>
      <c r="B52" s="226" t="s">
        <v>491</v>
      </c>
      <c r="C52" s="226" t="s">
        <v>491</v>
      </c>
      <c r="D52" s="226" t="s">
        <v>491</v>
      </c>
      <c r="E52" s="226" t="s">
        <v>491</v>
      </c>
      <c r="F52" s="231">
        <f t="shared" si="0"/>
        <v>24</v>
      </c>
    </row>
    <row r="53" spans="1:17" ht="13.5" thickBot="1" x14ac:dyDescent="0.25">
      <c r="A53" s="218" t="s">
        <v>491</v>
      </c>
      <c r="B53" s="226" t="s">
        <v>491</v>
      </c>
      <c r="C53" s="226" t="s">
        <v>491</v>
      </c>
      <c r="D53" s="226" t="s">
        <v>491</v>
      </c>
      <c r="E53" s="226" t="s">
        <v>491</v>
      </c>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v>0</v>
      </c>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v>0</v>
      </c>
      <c r="D60" s="5"/>
      <c r="E60" s="31"/>
      <c r="F60" s="216"/>
      <c r="G60" s="31"/>
      <c r="H60" s="31"/>
      <c r="I60" s="31"/>
      <c r="J60" s="31"/>
      <c r="K60" s="31"/>
      <c r="L60" s="31"/>
      <c r="M60" s="31"/>
      <c r="N60" s="31"/>
      <c r="O60" s="31"/>
      <c r="P60" s="31"/>
      <c r="Q60" s="31"/>
    </row>
    <row r="61" spans="1:17" x14ac:dyDescent="0.2">
      <c r="A61" s="689" t="s">
        <v>160</v>
      </c>
      <c r="B61" s="690"/>
      <c r="C61" s="34">
        <v>0</v>
      </c>
      <c r="E61" s="31"/>
      <c r="F61" s="217"/>
      <c r="G61" s="31"/>
      <c r="H61" s="31"/>
      <c r="I61" s="31"/>
      <c r="J61" s="31"/>
      <c r="K61" s="31"/>
      <c r="L61" s="31"/>
      <c r="M61" s="31"/>
      <c r="N61" s="31"/>
      <c r="O61" s="31"/>
      <c r="P61" s="31"/>
      <c r="Q61" s="31"/>
    </row>
    <row r="62" spans="1:17" x14ac:dyDescent="0.2">
      <c r="A62" s="15" t="s">
        <v>149</v>
      </c>
      <c r="B62" s="613"/>
      <c r="C62" s="38">
        <v>0</v>
      </c>
      <c r="E62" s="31"/>
      <c r="F62" s="217"/>
      <c r="G62" s="31"/>
      <c r="H62" s="31"/>
      <c r="I62" s="31"/>
      <c r="J62" s="31"/>
      <c r="K62" s="31"/>
      <c r="L62" s="31"/>
      <c r="M62" s="31"/>
      <c r="N62" s="31"/>
      <c r="O62" s="31"/>
      <c r="P62" s="31"/>
      <c r="Q62" s="31"/>
    </row>
    <row r="63" spans="1:17" x14ac:dyDescent="0.2">
      <c r="A63" s="17" t="s">
        <v>316</v>
      </c>
      <c r="B63" s="613"/>
      <c r="C63" s="38">
        <v>0</v>
      </c>
      <c r="E63" s="31"/>
      <c r="F63" s="217"/>
      <c r="G63" s="31"/>
      <c r="H63" s="31"/>
      <c r="I63" s="31"/>
      <c r="J63" s="31"/>
      <c r="K63" s="31"/>
      <c r="L63" s="31"/>
      <c r="M63" s="31"/>
      <c r="N63" s="31"/>
      <c r="O63" s="31"/>
      <c r="P63" s="31"/>
      <c r="Q63" s="31"/>
    </row>
    <row r="64" spans="1:17" x14ac:dyDescent="0.2">
      <c r="A64" s="15" t="s">
        <v>315</v>
      </c>
      <c r="B64" s="613"/>
      <c r="C64" s="38">
        <v>0</v>
      </c>
      <c r="E64" s="31"/>
      <c r="F64" s="217"/>
      <c r="G64" s="31"/>
      <c r="H64" s="31"/>
      <c r="I64" s="31"/>
      <c r="J64" s="31"/>
      <c r="K64" s="31"/>
      <c r="L64" s="31"/>
      <c r="M64" s="31"/>
      <c r="N64" s="31"/>
      <c r="O64" s="31"/>
      <c r="P64" s="31"/>
      <c r="Q64" s="31"/>
    </row>
    <row r="65" spans="1:17" x14ac:dyDescent="0.2">
      <c r="A65" s="693" t="s">
        <v>308</v>
      </c>
      <c r="B65" s="694"/>
      <c r="C65" s="35">
        <v>0</v>
      </c>
      <c r="E65" s="31"/>
      <c r="F65" s="217"/>
      <c r="G65" s="31"/>
      <c r="H65" s="31"/>
      <c r="I65" s="31"/>
      <c r="J65" s="31"/>
      <c r="K65" s="31"/>
      <c r="L65" s="31"/>
      <c r="M65" s="31"/>
      <c r="N65" s="31"/>
      <c r="O65" s="31"/>
      <c r="P65" s="31"/>
      <c r="Q65" s="31"/>
    </row>
    <row r="66" spans="1:17" x14ac:dyDescent="0.2">
      <c r="A66" s="612" t="s">
        <v>306</v>
      </c>
      <c r="B66" s="613"/>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v>0</v>
      </c>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612" t="s">
        <v>164</v>
      </c>
      <c r="B70" s="613"/>
      <c r="C70" s="40" t="e">
        <f ca="1">(C67+C68)*C20+C61*(C20-C65)</f>
        <v>#N/A</v>
      </c>
      <c r="E70" s="31"/>
      <c r="F70" s="217"/>
      <c r="G70" s="31"/>
      <c r="H70" s="31"/>
      <c r="I70" s="31"/>
      <c r="J70" s="31"/>
      <c r="K70" s="31"/>
      <c r="L70" s="31"/>
      <c r="M70" s="31"/>
      <c r="N70" s="31"/>
      <c r="O70" s="31"/>
      <c r="P70" s="31"/>
      <c r="Q70" s="31"/>
    </row>
    <row r="71" spans="1:17" x14ac:dyDescent="0.2">
      <c r="A71" s="612" t="s">
        <v>165</v>
      </c>
      <c r="B71" s="613"/>
      <c r="C71" s="41" t="e">
        <f ca="1">(C67+C68)/C15</f>
        <v>#N/A</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v>0</v>
      </c>
      <c r="E73" s="46"/>
    </row>
    <row r="74" spans="1:17" x14ac:dyDescent="0.2">
      <c r="A74" s="695" t="s">
        <v>153</v>
      </c>
      <c r="B74" s="696"/>
      <c r="C74" s="38">
        <v>0</v>
      </c>
      <c r="E74" s="46"/>
    </row>
    <row r="75" spans="1:17" x14ac:dyDescent="0.2">
      <c r="A75" s="695" t="s">
        <v>154</v>
      </c>
      <c r="B75" s="696"/>
      <c r="C75" s="38">
        <v>0</v>
      </c>
      <c r="E75" s="46"/>
    </row>
    <row r="76" spans="1:17" x14ac:dyDescent="0.2">
      <c r="A76" s="689" t="s">
        <v>166</v>
      </c>
      <c r="B76" s="690"/>
      <c r="C76" s="35">
        <v>0</v>
      </c>
    </row>
    <row r="77" spans="1:17" x14ac:dyDescent="0.2">
      <c r="A77" s="689" t="s">
        <v>167</v>
      </c>
      <c r="B77" s="690"/>
      <c r="C77" s="36">
        <f>ROUND(IF(C73=0,0,C21-C73),0)</f>
        <v>0</v>
      </c>
      <c r="D77" s="46"/>
    </row>
    <row r="78" spans="1:17" x14ac:dyDescent="0.2">
      <c r="A78" s="689" t="s">
        <v>168</v>
      </c>
      <c r="B78" s="690"/>
      <c r="C78" s="47">
        <v>0</v>
      </c>
    </row>
    <row r="79" spans="1:17" x14ac:dyDescent="0.2">
      <c r="A79" s="689" t="s">
        <v>169</v>
      </c>
      <c r="B79" s="690"/>
      <c r="C79" s="39">
        <f>C73*C76</f>
        <v>0</v>
      </c>
    </row>
    <row r="80" spans="1:17" x14ac:dyDescent="0.2">
      <c r="A80" s="610" t="s">
        <v>170</v>
      </c>
      <c r="B80" s="611"/>
      <c r="C80" s="40" t="e">
        <f ca="1">(C77+C78)*C25+C73*(C25-C76)</f>
        <v>#N/A</v>
      </c>
    </row>
    <row r="81" spans="1:3" x14ac:dyDescent="0.2">
      <c r="A81" s="689" t="s">
        <v>171</v>
      </c>
      <c r="B81" s="690"/>
      <c r="C81" s="41" t="e">
        <f ca="1">(C77+C78)/C21</f>
        <v>#N/A</v>
      </c>
    </row>
    <row r="82" spans="1:3" x14ac:dyDescent="0.2">
      <c r="A82" s="42"/>
      <c r="B82" s="43"/>
      <c r="C82" s="44"/>
    </row>
    <row r="83" spans="1:3" x14ac:dyDescent="0.2">
      <c r="A83" s="689" t="s">
        <v>172</v>
      </c>
      <c r="B83" s="690"/>
      <c r="C83" s="48">
        <v>0</v>
      </c>
    </row>
    <row r="84" spans="1:3" ht="15" x14ac:dyDescent="0.3">
      <c r="A84" s="689" t="s">
        <v>173</v>
      </c>
      <c r="B84" s="690"/>
      <c r="C84" s="232" t="e">
        <f ca="1">B26-C83</f>
        <v>#N/A</v>
      </c>
    </row>
    <row r="85" spans="1:3" ht="13.5" thickBot="1" x14ac:dyDescent="0.25">
      <c r="A85" s="193" t="s">
        <v>174</v>
      </c>
      <c r="B85" s="194"/>
      <c r="C85" s="233" t="e">
        <f ca="1">IF(B26&gt;0,C84/B26,0)</f>
        <v>#N/A</v>
      </c>
    </row>
    <row r="86" spans="1:3" ht="13.5" thickBot="1" x14ac:dyDescent="0.25">
      <c r="C86" s="30"/>
    </row>
    <row r="87" spans="1:3" ht="13.5" thickBot="1" x14ac:dyDescent="0.25">
      <c r="A87" s="697" t="s">
        <v>175</v>
      </c>
      <c r="B87" s="698"/>
      <c r="C87" s="49" t="e">
        <f ca="1">C70+C80+C84</f>
        <v>#N/A</v>
      </c>
    </row>
    <row r="88" spans="1:3" ht="13.5" thickBot="1" x14ac:dyDescent="0.25">
      <c r="A88" s="699" t="s">
        <v>9</v>
      </c>
      <c r="B88" s="700"/>
      <c r="C88" s="50" t="e">
        <f ca="1">C107</f>
        <v>#N/A</v>
      </c>
    </row>
    <row r="90" spans="1:3" x14ac:dyDescent="0.2">
      <c r="A90" s="701" t="s">
        <v>8</v>
      </c>
      <c r="B90" s="701"/>
      <c r="C90" s="701"/>
    </row>
    <row r="91" spans="1:3" x14ac:dyDescent="0.2">
      <c r="A91" s="609" t="s">
        <v>7</v>
      </c>
      <c r="B91" s="609" t="s">
        <v>6</v>
      </c>
      <c r="C91" s="609" t="s">
        <v>5</v>
      </c>
    </row>
    <row r="92" spans="1:3" x14ac:dyDescent="0.2">
      <c r="A92" s="51">
        <v>1</v>
      </c>
      <c r="B92" s="52" t="e">
        <f ca="1">$C$87</f>
        <v>#N/A</v>
      </c>
      <c r="C92" s="53" t="e">
        <f t="shared" ref="C92:C106" ca="1" si="1">B92/(1+$B$109)^A92</f>
        <v>#N/A</v>
      </c>
    </row>
    <row r="93" spans="1:3" x14ac:dyDescent="0.2">
      <c r="A93" s="51">
        <v>2</v>
      </c>
      <c r="B93" s="52" t="e">
        <f t="shared" ref="B93:B106" ca="1" si="2">$C$87</f>
        <v>#N/A</v>
      </c>
      <c r="C93" s="53" t="e">
        <f t="shared" ca="1" si="1"/>
        <v>#N/A</v>
      </c>
    </row>
    <row r="94" spans="1:3" x14ac:dyDescent="0.2">
      <c r="A94" s="51">
        <v>3</v>
      </c>
      <c r="B94" s="52" t="e">
        <f t="shared" ca="1" si="2"/>
        <v>#N/A</v>
      </c>
      <c r="C94" s="53" t="e">
        <f t="shared" ca="1" si="1"/>
        <v>#N/A</v>
      </c>
    </row>
    <row r="95" spans="1:3" x14ac:dyDescent="0.2">
      <c r="A95" s="51">
        <v>4</v>
      </c>
      <c r="B95" s="52" t="e">
        <f t="shared" ca="1" si="2"/>
        <v>#N/A</v>
      </c>
      <c r="C95" s="53" t="e">
        <f t="shared" ca="1" si="1"/>
        <v>#N/A</v>
      </c>
    </row>
    <row r="96" spans="1:3" x14ac:dyDescent="0.2">
      <c r="A96" s="51">
        <v>5</v>
      </c>
      <c r="B96" s="52" t="e">
        <f t="shared" ca="1" si="2"/>
        <v>#N/A</v>
      </c>
      <c r="C96" s="53" t="e">
        <f t="shared" ca="1" si="1"/>
        <v>#N/A</v>
      </c>
    </row>
    <row r="97" spans="1:17" x14ac:dyDescent="0.2">
      <c r="A97" s="51">
        <v>6</v>
      </c>
      <c r="B97" s="52" t="e">
        <f t="shared" ca="1" si="2"/>
        <v>#N/A</v>
      </c>
      <c r="C97" s="53" t="e">
        <f t="shared" ca="1" si="1"/>
        <v>#N/A</v>
      </c>
    </row>
    <row r="98" spans="1:17" x14ac:dyDescent="0.2">
      <c r="A98" s="51">
        <v>7</v>
      </c>
      <c r="B98" s="52" t="e">
        <f t="shared" ca="1" si="2"/>
        <v>#N/A</v>
      </c>
      <c r="C98" s="53" t="e">
        <f t="shared" ca="1" si="1"/>
        <v>#N/A</v>
      </c>
    </row>
    <row r="99" spans="1:17" x14ac:dyDescent="0.2">
      <c r="A99" s="51">
        <v>8</v>
      </c>
      <c r="B99" s="52" t="e">
        <f t="shared" ca="1" si="2"/>
        <v>#N/A</v>
      </c>
      <c r="C99" s="53" t="e">
        <f t="shared" ca="1" si="1"/>
        <v>#N/A</v>
      </c>
    </row>
    <row r="100" spans="1:17" x14ac:dyDescent="0.2">
      <c r="A100" s="51">
        <v>9</v>
      </c>
      <c r="B100" s="52" t="e">
        <f t="shared" ca="1" si="2"/>
        <v>#N/A</v>
      </c>
      <c r="C100" s="53" t="e">
        <f t="shared" ca="1" si="1"/>
        <v>#N/A</v>
      </c>
    </row>
    <row r="101" spans="1:17" x14ac:dyDescent="0.2">
      <c r="A101" s="51">
        <v>10</v>
      </c>
      <c r="B101" s="52" t="e">
        <f t="shared" ca="1" si="2"/>
        <v>#N/A</v>
      </c>
      <c r="C101" s="53" t="e">
        <f t="shared" ca="1" si="1"/>
        <v>#N/A</v>
      </c>
    </row>
    <row r="102" spans="1:17" s="30" customFormat="1" x14ac:dyDescent="0.2">
      <c r="A102" s="51">
        <v>11</v>
      </c>
      <c r="B102" s="52" t="e">
        <f t="shared" ca="1" si="2"/>
        <v>#N/A</v>
      </c>
      <c r="C102" s="53" t="e">
        <f t="shared" ca="1" si="1"/>
        <v>#N/A</v>
      </c>
      <c r="D102" s="1"/>
      <c r="E102" s="1"/>
      <c r="G102" s="1"/>
      <c r="H102" s="1"/>
      <c r="I102" s="1"/>
      <c r="J102" s="1"/>
      <c r="K102" s="1"/>
      <c r="L102" s="1"/>
      <c r="M102" s="1"/>
      <c r="N102" s="1"/>
      <c r="O102" s="1"/>
      <c r="P102" s="1"/>
      <c r="Q102" s="1"/>
    </row>
    <row r="103" spans="1:17" s="30" customFormat="1" x14ac:dyDescent="0.2">
      <c r="A103" s="51">
        <v>12</v>
      </c>
      <c r="B103" s="52" t="e">
        <f t="shared" ca="1" si="2"/>
        <v>#N/A</v>
      </c>
      <c r="C103" s="53" t="e">
        <f t="shared" ca="1" si="1"/>
        <v>#N/A</v>
      </c>
      <c r="D103" s="1"/>
      <c r="E103" s="1"/>
      <c r="G103" s="1"/>
      <c r="H103" s="1"/>
      <c r="I103" s="1"/>
      <c r="J103" s="1"/>
      <c r="K103" s="1"/>
      <c r="L103" s="1"/>
      <c r="M103" s="1"/>
      <c r="N103" s="1"/>
      <c r="O103" s="1"/>
      <c r="P103" s="1"/>
      <c r="Q103" s="1"/>
    </row>
    <row r="104" spans="1:17" s="30" customFormat="1" x14ac:dyDescent="0.2">
      <c r="A104" s="51">
        <v>13</v>
      </c>
      <c r="B104" s="52" t="e">
        <f t="shared" ca="1" si="2"/>
        <v>#N/A</v>
      </c>
      <c r="C104" s="53" t="e">
        <f t="shared" ca="1" si="1"/>
        <v>#N/A</v>
      </c>
      <c r="D104" s="1"/>
      <c r="E104" s="1"/>
      <c r="G104" s="1"/>
      <c r="H104" s="1"/>
      <c r="I104" s="1"/>
      <c r="J104" s="1"/>
      <c r="K104" s="1"/>
      <c r="L104" s="1"/>
      <c r="M104" s="1"/>
      <c r="N104" s="1"/>
      <c r="O104" s="1"/>
      <c r="P104" s="1"/>
      <c r="Q104" s="1"/>
    </row>
    <row r="105" spans="1:17" s="30" customFormat="1" x14ac:dyDescent="0.2">
      <c r="A105" s="51">
        <v>14</v>
      </c>
      <c r="B105" s="52" t="e">
        <f t="shared" ca="1" si="2"/>
        <v>#N/A</v>
      </c>
      <c r="C105" s="53" t="e">
        <f t="shared" ca="1" si="1"/>
        <v>#N/A</v>
      </c>
      <c r="D105" s="1"/>
      <c r="E105" s="1"/>
      <c r="G105" s="1"/>
      <c r="H105" s="1"/>
      <c r="I105" s="1"/>
      <c r="J105" s="1"/>
      <c r="K105" s="1"/>
      <c r="L105" s="1"/>
      <c r="M105" s="1"/>
      <c r="N105" s="1"/>
      <c r="O105" s="1"/>
      <c r="P105" s="1"/>
      <c r="Q105" s="1"/>
    </row>
    <row r="106" spans="1:17" s="30" customFormat="1" x14ac:dyDescent="0.2">
      <c r="A106" s="51">
        <v>15</v>
      </c>
      <c r="B106" s="52" t="e">
        <f t="shared" ca="1" si="2"/>
        <v>#N/A</v>
      </c>
      <c r="C106" s="53" t="e">
        <f t="shared" ca="1" si="1"/>
        <v>#N/A</v>
      </c>
      <c r="D106" s="1"/>
      <c r="E106" s="1"/>
      <c r="G106" s="1"/>
      <c r="H106" s="1"/>
      <c r="I106" s="1"/>
      <c r="J106" s="1"/>
      <c r="K106" s="1"/>
      <c r="L106" s="1"/>
      <c r="M106" s="1"/>
      <c r="N106" s="1"/>
      <c r="O106" s="1"/>
      <c r="P106" s="1"/>
      <c r="Q106" s="1"/>
    </row>
    <row r="107" spans="1:17" s="30" customFormat="1" x14ac:dyDescent="0.2">
      <c r="A107" s="702" t="s">
        <v>4</v>
      </c>
      <c r="B107" s="702"/>
      <c r="C107" s="54" t="e">
        <f ca="1">SUM(C92:C106)</f>
        <v>#N/A</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v>0</v>
      </c>
      <c r="C114" s="59">
        <f t="shared" ref="C114:C119" si="3">B114*$C$61</f>
        <v>0</v>
      </c>
      <c r="D114" s="237">
        <v>0</v>
      </c>
      <c r="E114" s="235" t="s">
        <v>491</v>
      </c>
      <c r="G114" s="1"/>
      <c r="H114" s="1"/>
      <c r="I114" s="1"/>
      <c r="J114" s="1"/>
      <c r="K114" s="1"/>
      <c r="L114" s="1"/>
      <c r="M114" s="1"/>
      <c r="N114" s="1"/>
      <c r="O114" s="1"/>
      <c r="P114" s="1"/>
      <c r="Q114" s="1"/>
    </row>
    <row r="115" spans="1:17" s="30" customFormat="1" x14ac:dyDescent="0.2">
      <c r="A115" s="241" t="s">
        <v>318</v>
      </c>
      <c r="B115" s="234">
        <v>0</v>
      </c>
      <c r="C115" s="59">
        <f t="shared" si="3"/>
        <v>0</v>
      </c>
      <c r="D115" s="237">
        <v>0</v>
      </c>
      <c r="E115" s="235">
        <v>0</v>
      </c>
      <c r="G115" s="1"/>
      <c r="H115" s="1"/>
      <c r="I115" s="1"/>
      <c r="J115" s="1"/>
      <c r="K115" s="1"/>
      <c r="L115" s="1"/>
      <c r="M115" s="1"/>
      <c r="N115" s="1"/>
      <c r="O115" s="1"/>
      <c r="P115" s="1"/>
      <c r="Q115" s="1"/>
    </row>
    <row r="116" spans="1:17" s="30" customFormat="1" x14ac:dyDescent="0.2">
      <c r="A116" s="241" t="s">
        <v>319</v>
      </c>
      <c r="B116" s="234">
        <v>0</v>
      </c>
      <c r="C116" s="59">
        <f t="shared" si="3"/>
        <v>0</v>
      </c>
      <c r="D116" s="237">
        <v>0</v>
      </c>
      <c r="E116" s="235">
        <v>0</v>
      </c>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v>0</v>
      </c>
      <c r="C124" s="61">
        <v>3000</v>
      </c>
    </row>
    <row r="125" spans="1:17" x14ac:dyDescent="0.2">
      <c r="A125" s="58" t="s">
        <v>184</v>
      </c>
      <c r="B125" s="61">
        <v>0</v>
      </c>
      <c r="C125" s="61">
        <v>2500</v>
      </c>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46"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2C85B-C44F-4833-867A-73CB0B66C70F}">
  <sheetPr>
    <tabColor rgb="FFFF0000"/>
    <pageSetUpPr fitToPage="1"/>
  </sheetPr>
  <dimension ref="A1:Q125"/>
  <sheetViews>
    <sheetView workbookViewId="0">
      <selection activeCell="K59" sqref="K59"/>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e">
        <f ca="1">INDEX('Referenčne količine'!$C$4:$C$9,MATCH('OB012'!B6,'Referenčne količine'!$B$4:$B$9,0))</f>
        <v>#N/A</v>
      </c>
      <c r="C4" s="675"/>
    </row>
    <row r="5" spans="1:7" x14ac:dyDescent="0.2">
      <c r="A5" s="4" t="s">
        <v>16</v>
      </c>
      <c r="B5" s="676" t="e">
        <f ca="1">INDEX('Referenčne količine'!$D$4:$D$9,MATCH('OB012'!B6,'Referenčne količine'!$B$4:$B$9,0))</f>
        <v>#N/A</v>
      </c>
      <c r="C5" s="677"/>
    </row>
    <row r="6" spans="1:7" x14ac:dyDescent="0.2">
      <c r="A6" s="4" t="s">
        <v>15</v>
      </c>
      <c r="B6" s="676" t="str">
        <f ca="1">RIGHT(CELL("filename",A1),5)</f>
        <v>OB012</v>
      </c>
      <c r="C6" s="677"/>
    </row>
    <row r="7" spans="1:7" x14ac:dyDescent="0.2">
      <c r="A7" s="4" t="s">
        <v>14</v>
      </c>
      <c r="B7" s="678" t="e">
        <f ca="1">INDEX('Referenčne količine'!$G$4:$G$9,MATCH('OB012'!B6,'Referenčne količine'!$B$4:$B$9,0))</f>
        <v>#N/A</v>
      </c>
      <c r="C7" s="679"/>
      <c r="F7" s="214"/>
      <c r="G7" s="5"/>
    </row>
    <row r="8" spans="1:7" x14ac:dyDescent="0.2">
      <c r="A8" s="4" t="s">
        <v>294</v>
      </c>
      <c r="B8" s="680" t="e">
        <f ca="1">INDEX('Referenčne količine'!$P$4:$P$9,MATCH('OB012'!B6,'Referenčne količine'!$B$4:$B$9,0))</f>
        <v>#N/A</v>
      </c>
      <c r="C8" s="681"/>
      <c r="F8" s="214"/>
      <c r="G8" s="5"/>
    </row>
    <row r="9" spans="1:7" x14ac:dyDescent="0.2">
      <c r="A9" s="4" t="s">
        <v>295</v>
      </c>
      <c r="B9" s="680" t="e">
        <f ca="1">INDEX('Referenčne količine'!$W$4:$W$9,MATCH('OB012'!B6,'Referenčne količine'!$B$4:$B$9,0))</f>
        <v>#N/A</v>
      </c>
      <c r="C9" s="681"/>
      <c r="F9" s="214"/>
      <c r="G9" s="5"/>
    </row>
    <row r="10" spans="1:7" ht="13.5" thickBot="1" x14ac:dyDescent="0.25">
      <c r="A10" s="213" t="s">
        <v>296</v>
      </c>
      <c r="B10" s="682" t="e">
        <f ca="1">INDEX('Referenčne količine'!$AD$4:$AD$9,MATCH('OB012'!B6,'Referenčne količine'!$B$4:$B$9,0))</f>
        <v>#N/A</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t="e">
        <f ca="1">INDEX('Referenčne količine'!$AK$4:$AK$9,MATCH('OB012'!$B$6,'Referenčne količine'!$B$4:$B$9,0))</f>
        <v>#N/A</v>
      </c>
      <c r="C14" s="11" t="e">
        <f ca="1">INDEX('Referenčne količine'!$AS$4:$AS$9,MATCH('OB012'!$B$6,'Referenčne količine'!$B$4:$B$9,0))</f>
        <v>#N/A</v>
      </c>
      <c r="E14" s="12"/>
      <c r="F14" s="215"/>
    </row>
    <row r="15" spans="1:7" x14ac:dyDescent="0.2">
      <c r="A15" s="13" t="s">
        <v>148</v>
      </c>
      <c r="B15" s="14" t="e">
        <f ca="1">INDEX('Referenčne količine'!$AM$4:$AM$9,MATCH('OB012'!$B$6,'Referenčne količine'!$B$4:$B$9,0))</f>
        <v>#N/A</v>
      </c>
      <c r="C15" s="14" t="e">
        <f ca="1">INDEX('Referenčne količine'!$AT$4:$AT$9,MATCH('OB012'!$B$6,'Referenčne količine'!$B$4:$B$9,0))</f>
        <v>#N/A</v>
      </c>
      <c r="E15" s="12"/>
      <c r="F15" s="215"/>
    </row>
    <row r="16" spans="1:7" x14ac:dyDescent="0.2">
      <c r="A16" s="15" t="s">
        <v>149</v>
      </c>
      <c r="B16" s="16" t="e">
        <f ca="1">INDEX('Referenčne količine'!$AO$4:$AO$9,MATCH('OB012'!$B$6,'Referenčne količine'!$B$4:$B$9,0))</f>
        <v>#N/A</v>
      </c>
      <c r="C16" s="16" t="e">
        <f ca="1">INDEX('Referenčne količine'!$AW$4:$AW$9,MATCH('OB012'!$B$6,'Referenčne količine'!$B$4:$B$9,0))</f>
        <v>#N/A</v>
      </c>
      <c r="E16" s="5"/>
      <c r="F16" s="214"/>
    </row>
    <row r="17" spans="1:6" x14ac:dyDescent="0.2">
      <c r="A17" s="17" t="s">
        <v>316</v>
      </c>
      <c r="B17" s="16" t="e">
        <f ca="1">INDEX('Referenčne količine'!$AP$4:$AP$9,MATCH('OB012'!$B$6,'Referenčne količine'!$B$4:$B$9,0))</f>
        <v>#N/A</v>
      </c>
      <c r="C17" s="16" t="e">
        <f ca="1">INDEX('Referenčne količine'!$AX$4:$AX$9,MATCH('OB012'!$B$6,'Referenčne količine'!$B$4:$B$9,0))</f>
        <v>#N/A</v>
      </c>
      <c r="E17" s="5"/>
      <c r="F17" s="214"/>
    </row>
    <row r="18" spans="1:6" x14ac:dyDescent="0.2">
      <c r="A18" s="15" t="s">
        <v>315</v>
      </c>
      <c r="B18" s="16" t="e">
        <f ca="1">INDEX('Referenčne količine'!$AQ$4:$AQ$9,MATCH('OB012'!$B$6,'Referenčne količine'!$B$4:$B$9,0))</f>
        <v>#N/A</v>
      </c>
      <c r="C18" s="16" t="e">
        <f ca="1">INDEX('Referenčne količine'!$AY$4:$AY$9,MATCH('OB012'!$B$6,'Referenčne količine'!$B$4:$B$9,0))</f>
        <v>#N/A</v>
      </c>
      <c r="E18" s="12"/>
      <c r="F18" s="215"/>
    </row>
    <row r="19" spans="1:6" x14ac:dyDescent="0.2">
      <c r="A19" s="15" t="s">
        <v>150</v>
      </c>
      <c r="B19" s="18" t="e">
        <f ca="1">INDEX('Referenčne količine'!$AL$4:$AL$9,MATCH('OB012'!$B$6,'Referenčne količine'!$B$4:$B$9,0))</f>
        <v>#N/A</v>
      </c>
      <c r="C19" s="18" t="e">
        <f ca="1">INDEX('Referenčne količine'!$AV$4:$AV$9,MATCH('OB012'!$B$6,'Referenčne količine'!$B$4:$B$9,0))</f>
        <v>#N/A</v>
      </c>
      <c r="E19" s="12"/>
      <c r="F19" s="215"/>
    </row>
    <row r="20" spans="1:6" ht="13.5" thickBot="1" x14ac:dyDescent="0.25">
      <c r="A20" s="19" t="s">
        <v>151</v>
      </c>
      <c r="B20" s="20" t="e">
        <f ca="1">INDEX('Referenčne količine'!$AN$4:$AN$9,MATCH('OB012'!$B$6,'Referenčne količine'!$B$4:$B$9,0))</f>
        <v>#N/A</v>
      </c>
      <c r="C20" s="20" t="e">
        <f ca="1">INDEX('Referenčne količine'!$AN$4:$AN$9,MATCH('OB012'!$B$6,'Referenčne količine'!$B$4:$B$9,0))</f>
        <v>#N/A</v>
      </c>
      <c r="E20" s="12"/>
      <c r="F20" s="215"/>
    </row>
    <row r="21" spans="1:6" x14ac:dyDescent="0.2">
      <c r="A21" s="9" t="s">
        <v>152</v>
      </c>
      <c r="B21" s="10" t="e">
        <f ca="1">INDEX('Referenčne količine'!$AZ$4:$AZ$9,MATCH('OB012'!$B$6,'Referenčne količine'!$B$4:$B$9,0))</f>
        <v>#N/A</v>
      </c>
      <c r="C21" s="10" t="e">
        <f ca="1">INDEX('Referenčne količine'!$BF$4:$BF$9,MATCH('OB012'!$B$6,'Referenčne količine'!$B$4:$B$9,0))</f>
        <v>#N/A</v>
      </c>
      <c r="E21" s="12"/>
      <c r="F21" s="215"/>
    </row>
    <row r="22" spans="1:6" x14ac:dyDescent="0.2">
      <c r="A22" s="21" t="s">
        <v>153</v>
      </c>
      <c r="B22" s="14" t="e">
        <f ca="1">INDEX('Referenčne količine'!$BC$4:$BC$9,MATCH('OB012'!$B$6,'Referenčne količine'!$B$4:$B$9,0))</f>
        <v>#N/A</v>
      </c>
      <c r="C22" s="14" t="e">
        <f ca="1">INDEX('Referenčne količine'!$BH$4:$BH$9,MATCH('OB012'!$B$6,'Referenčne količine'!$B$4:$B$9,0))</f>
        <v>#N/A</v>
      </c>
      <c r="E22" s="12"/>
      <c r="F22" s="215"/>
    </row>
    <row r="23" spans="1:6" x14ac:dyDescent="0.2">
      <c r="A23" s="21" t="s">
        <v>154</v>
      </c>
      <c r="B23" s="14" t="e">
        <f ca="1">INDEX('Referenčne količine'!$BD$4:$BD$9,MATCH('OB012'!$B$6,'Referenčne količine'!$B$4:$B$9,0))</f>
        <v>#N/A</v>
      </c>
      <c r="C23" s="14" t="e">
        <f ca="1">INDEX('Referenčne količine'!$BI$4:$BI$9,MATCH('OB012'!$B$6,'Referenčne količine'!$B$4:$B$9,0))</f>
        <v>#N/A</v>
      </c>
      <c r="E23" s="12"/>
      <c r="F23" s="215"/>
    </row>
    <row r="24" spans="1:6" x14ac:dyDescent="0.2">
      <c r="A24" s="22" t="s">
        <v>155</v>
      </c>
      <c r="B24" s="23" t="e">
        <f ca="1">INDEX('Referenčne količine'!$BA$4:$BA$9,MATCH('OB012'!$B$6,'Referenčne količine'!$B$4:$B$9,0))</f>
        <v>#N/A</v>
      </c>
      <c r="C24" s="24" t="e">
        <f ca="1">INDEX('Referenčne količine'!$BG$4:$BG$9,MATCH('OB012'!$B$6,'Referenčne količine'!$B$4:$B$9,0))</f>
        <v>#N/A</v>
      </c>
      <c r="D24" s="25"/>
      <c r="E24" s="12"/>
      <c r="F24" s="215"/>
    </row>
    <row r="25" spans="1:6" ht="13.5" thickBot="1" x14ac:dyDescent="0.25">
      <c r="A25" s="26" t="s">
        <v>156</v>
      </c>
      <c r="B25" s="62" t="e">
        <f ca="1">INDEX('Referenčne količine'!$BB$4:$BB$9,MATCH('OB012'!$B$6,'Referenčne količine'!$B$4:$B$9,0))</f>
        <v>#N/A</v>
      </c>
      <c r="C25" s="62" t="e">
        <f ca="1">INDEX('Referenčne količine'!$BB$4:$BB$9,MATCH('OB012'!$B$6,'Referenčne količine'!$B$4:$B$9,0))</f>
        <v>#N/A</v>
      </c>
      <c r="E25" s="12"/>
      <c r="F25" s="215"/>
    </row>
    <row r="26" spans="1:6" ht="14.45" customHeight="1" thickBot="1" x14ac:dyDescent="0.25">
      <c r="A26" s="27" t="s">
        <v>157</v>
      </c>
      <c r="B26" s="28" t="e">
        <f ca="1">INDEX('Referenčne količine'!$BK$4:$BK$9,MATCH('OB012'!$B$6,'Referenčne količine'!$B$4:$B$9,0))</f>
        <v>#N/A</v>
      </c>
      <c r="C26" s="29"/>
      <c r="E26" s="12"/>
      <c r="F26" s="215"/>
    </row>
    <row r="27" spans="1:6" ht="13.5" thickBot="1" x14ac:dyDescent="0.25">
      <c r="F27" s="229">
        <f ca="1">VALUE(RIGHT(CELL("filename",A1),2))</f>
        <v>12</v>
      </c>
    </row>
    <row r="28" spans="1:6" ht="25.5" x14ac:dyDescent="0.2">
      <c r="A28" s="219" t="s">
        <v>158</v>
      </c>
      <c r="B28" s="221" t="s">
        <v>299</v>
      </c>
      <c r="C28" s="222" t="s">
        <v>300</v>
      </c>
      <c r="D28" s="221" t="s">
        <v>302</v>
      </c>
      <c r="E28" s="221" t="s">
        <v>301</v>
      </c>
      <c r="F28" s="230"/>
    </row>
    <row r="29" spans="1:6" x14ac:dyDescent="0.2">
      <c r="A29" s="218" t="s">
        <v>491</v>
      </c>
      <c r="B29" s="226" t="s">
        <v>491</v>
      </c>
      <c r="C29" s="226" t="s">
        <v>491</v>
      </c>
      <c r="D29" s="226" t="s">
        <v>491</v>
      </c>
      <c r="E29" s="226" t="s">
        <v>491</v>
      </c>
      <c r="F29" s="231">
        <v>1</v>
      </c>
    </row>
    <row r="30" spans="1:6" ht="13.15" customHeight="1" x14ac:dyDescent="0.2">
      <c r="A30" s="218" t="s">
        <v>491</v>
      </c>
      <c r="B30" s="226" t="s">
        <v>491</v>
      </c>
      <c r="C30" s="226" t="s">
        <v>491</v>
      </c>
      <c r="D30" s="226" t="s">
        <v>491</v>
      </c>
      <c r="E30" s="226" t="s">
        <v>491</v>
      </c>
      <c r="F30" s="231">
        <f t="shared" ref="F30:F53" si="0">F29+1</f>
        <v>2</v>
      </c>
    </row>
    <row r="31" spans="1:6" x14ac:dyDescent="0.2">
      <c r="A31" s="218" t="s">
        <v>491</v>
      </c>
      <c r="B31" s="226" t="s">
        <v>491</v>
      </c>
      <c r="C31" s="226" t="s">
        <v>491</v>
      </c>
      <c r="D31" s="226" t="s">
        <v>491</v>
      </c>
      <c r="E31" s="226" t="s">
        <v>491</v>
      </c>
      <c r="F31" s="231">
        <f t="shared" si="0"/>
        <v>3</v>
      </c>
    </row>
    <row r="32" spans="1:6" x14ac:dyDescent="0.2">
      <c r="A32" s="218" t="s">
        <v>491</v>
      </c>
      <c r="B32" s="226" t="s">
        <v>491</v>
      </c>
      <c r="C32" s="226" t="s">
        <v>491</v>
      </c>
      <c r="D32" s="226" t="s">
        <v>491</v>
      </c>
      <c r="E32" s="226" t="s">
        <v>491</v>
      </c>
      <c r="F32" s="231">
        <f t="shared" si="0"/>
        <v>4</v>
      </c>
    </row>
    <row r="33" spans="1:6" x14ac:dyDescent="0.2">
      <c r="A33" s="218" t="s">
        <v>491</v>
      </c>
      <c r="B33" s="226" t="s">
        <v>491</v>
      </c>
      <c r="C33" s="226" t="s">
        <v>491</v>
      </c>
      <c r="D33" s="226" t="s">
        <v>491</v>
      </c>
      <c r="E33" s="226" t="s">
        <v>491</v>
      </c>
      <c r="F33" s="231">
        <f t="shared" si="0"/>
        <v>5</v>
      </c>
    </row>
    <row r="34" spans="1:6" s="30" customFormat="1" x14ac:dyDescent="0.2">
      <c r="A34" s="218" t="s">
        <v>491</v>
      </c>
      <c r="B34" s="226" t="s">
        <v>491</v>
      </c>
      <c r="C34" s="226" t="s">
        <v>491</v>
      </c>
      <c r="D34" s="226" t="s">
        <v>491</v>
      </c>
      <c r="E34" s="226" t="s">
        <v>491</v>
      </c>
      <c r="F34" s="231">
        <f t="shared" si="0"/>
        <v>6</v>
      </c>
    </row>
    <row r="35" spans="1:6" x14ac:dyDescent="0.2">
      <c r="A35" s="218" t="s">
        <v>491</v>
      </c>
      <c r="B35" s="226" t="s">
        <v>491</v>
      </c>
      <c r="C35" s="226" t="s">
        <v>491</v>
      </c>
      <c r="D35" s="226" t="s">
        <v>491</v>
      </c>
      <c r="E35" s="226" t="s">
        <v>491</v>
      </c>
      <c r="F35" s="231">
        <f t="shared" si="0"/>
        <v>7</v>
      </c>
    </row>
    <row r="36" spans="1:6" x14ac:dyDescent="0.2">
      <c r="A36" s="218" t="s">
        <v>491</v>
      </c>
      <c r="B36" s="226" t="s">
        <v>491</v>
      </c>
      <c r="C36" s="226" t="s">
        <v>491</v>
      </c>
      <c r="D36" s="226" t="s">
        <v>491</v>
      </c>
      <c r="E36" s="226" t="s">
        <v>491</v>
      </c>
      <c r="F36" s="231">
        <f t="shared" si="0"/>
        <v>8</v>
      </c>
    </row>
    <row r="37" spans="1:6" s="30" customFormat="1" x14ac:dyDescent="0.2">
      <c r="A37" s="218" t="s">
        <v>491</v>
      </c>
      <c r="B37" s="226" t="s">
        <v>491</v>
      </c>
      <c r="C37" s="226" t="s">
        <v>491</v>
      </c>
      <c r="D37" s="226" t="s">
        <v>491</v>
      </c>
      <c r="E37" s="226" t="s">
        <v>491</v>
      </c>
      <c r="F37" s="231">
        <f t="shared" si="0"/>
        <v>9</v>
      </c>
    </row>
    <row r="38" spans="1:6" x14ac:dyDescent="0.2">
      <c r="A38" s="218" t="s">
        <v>491</v>
      </c>
      <c r="B38" s="226" t="s">
        <v>491</v>
      </c>
      <c r="C38" s="226" t="s">
        <v>491</v>
      </c>
      <c r="D38" s="226" t="s">
        <v>491</v>
      </c>
      <c r="E38" s="226" t="s">
        <v>491</v>
      </c>
      <c r="F38" s="231">
        <f t="shared" si="0"/>
        <v>10</v>
      </c>
    </row>
    <row r="39" spans="1:6" x14ac:dyDescent="0.2">
      <c r="A39" s="218" t="s">
        <v>491</v>
      </c>
      <c r="B39" s="226" t="s">
        <v>491</v>
      </c>
      <c r="C39" s="226" t="s">
        <v>491</v>
      </c>
      <c r="D39" s="226" t="s">
        <v>491</v>
      </c>
      <c r="E39" s="226" t="s">
        <v>491</v>
      </c>
      <c r="F39" s="231">
        <f t="shared" si="0"/>
        <v>11</v>
      </c>
    </row>
    <row r="40" spans="1:6" ht="13.15" customHeight="1" x14ac:dyDescent="0.2">
      <c r="A40" s="218" t="s">
        <v>491</v>
      </c>
      <c r="B40" s="226" t="s">
        <v>491</v>
      </c>
      <c r="C40" s="226" t="s">
        <v>491</v>
      </c>
      <c r="D40" s="226" t="s">
        <v>491</v>
      </c>
      <c r="E40" s="226" t="s">
        <v>491</v>
      </c>
      <c r="F40" s="231">
        <f t="shared" si="0"/>
        <v>12</v>
      </c>
    </row>
    <row r="41" spans="1:6" x14ac:dyDescent="0.2">
      <c r="A41" s="218" t="s">
        <v>491</v>
      </c>
      <c r="B41" s="226" t="s">
        <v>491</v>
      </c>
      <c r="C41" s="226" t="s">
        <v>491</v>
      </c>
      <c r="D41" s="226" t="s">
        <v>491</v>
      </c>
      <c r="E41" s="226" t="s">
        <v>491</v>
      </c>
      <c r="F41" s="231">
        <f t="shared" si="0"/>
        <v>13</v>
      </c>
    </row>
    <row r="42" spans="1:6" x14ac:dyDescent="0.2">
      <c r="A42" s="218" t="s">
        <v>491</v>
      </c>
      <c r="B42" s="226" t="s">
        <v>491</v>
      </c>
      <c r="C42" s="226" t="s">
        <v>491</v>
      </c>
      <c r="D42" s="226" t="s">
        <v>491</v>
      </c>
      <c r="E42" s="226" t="s">
        <v>491</v>
      </c>
      <c r="F42" s="231">
        <f t="shared" si="0"/>
        <v>14</v>
      </c>
    </row>
    <row r="43" spans="1:6" x14ac:dyDescent="0.2">
      <c r="A43" s="218" t="s">
        <v>491</v>
      </c>
      <c r="B43" s="226" t="s">
        <v>491</v>
      </c>
      <c r="C43" s="226" t="s">
        <v>491</v>
      </c>
      <c r="D43" s="226" t="s">
        <v>491</v>
      </c>
      <c r="E43" s="226" t="s">
        <v>491</v>
      </c>
      <c r="F43" s="231">
        <f t="shared" si="0"/>
        <v>15</v>
      </c>
    </row>
    <row r="44" spans="1:6" x14ac:dyDescent="0.2">
      <c r="A44" s="218" t="s">
        <v>491</v>
      </c>
      <c r="B44" s="226" t="s">
        <v>491</v>
      </c>
      <c r="C44" s="226" t="s">
        <v>491</v>
      </c>
      <c r="D44" s="226" t="s">
        <v>491</v>
      </c>
      <c r="E44" s="226" t="s">
        <v>491</v>
      </c>
      <c r="F44" s="231">
        <f t="shared" si="0"/>
        <v>16</v>
      </c>
    </row>
    <row r="45" spans="1:6" ht="15" customHeight="1" x14ac:dyDescent="0.2">
      <c r="A45" s="218" t="s">
        <v>491</v>
      </c>
      <c r="B45" s="226" t="s">
        <v>491</v>
      </c>
      <c r="C45" s="226" t="s">
        <v>491</v>
      </c>
      <c r="D45" s="226" t="s">
        <v>491</v>
      </c>
      <c r="E45" s="226" t="s">
        <v>491</v>
      </c>
      <c r="F45" s="231">
        <f t="shared" si="0"/>
        <v>17</v>
      </c>
    </row>
    <row r="46" spans="1:6" x14ac:dyDescent="0.2">
      <c r="A46" s="218" t="s">
        <v>491</v>
      </c>
      <c r="B46" s="226" t="s">
        <v>491</v>
      </c>
      <c r="C46" s="226" t="s">
        <v>491</v>
      </c>
      <c r="D46" s="226" t="s">
        <v>491</v>
      </c>
      <c r="E46" s="226" t="s">
        <v>491</v>
      </c>
      <c r="F46" s="231">
        <f t="shared" si="0"/>
        <v>18</v>
      </c>
    </row>
    <row r="47" spans="1:6" x14ac:dyDescent="0.2">
      <c r="A47" s="218" t="s">
        <v>491</v>
      </c>
      <c r="B47" s="226" t="s">
        <v>491</v>
      </c>
      <c r="C47" s="226" t="s">
        <v>491</v>
      </c>
      <c r="D47" s="226" t="s">
        <v>491</v>
      </c>
      <c r="E47" s="226" t="s">
        <v>491</v>
      </c>
      <c r="F47" s="231">
        <f t="shared" si="0"/>
        <v>19</v>
      </c>
    </row>
    <row r="48" spans="1:6" x14ac:dyDescent="0.2">
      <c r="A48" s="218" t="s">
        <v>491</v>
      </c>
      <c r="B48" s="226" t="s">
        <v>491</v>
      </c>
      <c r="C48" s="226" t="s">
        <v>491</v>
      </c>
      <c r="D48" s="226" t="s">
        <v>491</v>
      </c>
      <c r="E48" s="226" t="s">
        <v>491</v>
      </c>
      <c r="F48" s="231">
        <f t="shared" si="0"/>
        <v>20</v>
      </c>
    </row>
    <row r="49" spans="1:17" x14ac:dyDescent="0.2">
      <c r="A49" s="218" t="s">
        <v>491</v>
      </c>
      <c r="B49" s="226" t="s">
        <v>491</v>
      </c>
      <c r="C49" s="226" t="s">
        <v>491</v>
      </c>
      <c r="D49" s="226" t="s">
        <v>491</v>
      </c>
      <c r="E49" s="226" t="s">
        <v>491</v>
      </c>
      <c r="F49" s="231">
        <f t="shared" si="0"/>
        <v>21</v>
      </c>
    </row>
    <row r="50" spans="1:17" x14ac:dyDescent="0.2">
      <c r="A50" s="218" t="s">
        <v>491</v>
      </c>
      <c r="B50" s="226" t="s">
        <v>491</v>
      </c>
      <c r="C50" s="226" t="s">
        <v>491</v>
      </c>
      <c r="D50" s="226" t="s">
        <v>491</v>
      </c>
      <c r="E50" s="226" t="s">
        <v>491</v>
      </c>
      <c r="F50" s="231">
        <f t="shared" si="0"/>
        <v>22</v>
      </c>
    </row>
    <row r="51" spans="1:17" x14ac:dyDescent="0.2">
      <c r="A51" s="218" t="s">
        <v>491</v>
      </c>
      <c r="B51" s="226" t="s">
        <v>491</v>
      </c>
      <c r="C51" s="226" t="s">
        <v>491</v>
      </c>
      <c r="D51" s="226" t="s">
        <v>491</v>
      </c>
      <c r="E51" s="226" t="s">
        <v>491</v>
      </c>
      <c r="F51" s="231">
        <f t="shared" si="0"/>
        <v>23</v>
      </c>
    </row>
    <row r="52" spans="1:17" x14ac:dyDescent="0.2">
      <c r="A52" s="218" t="s">
        <v>491</v>
      </c>
      <c r="B52" s="226" t="s">
        <v>491</v>
      </c>
      <c r="C52" s="226" t="s">
        <v>491</v>
      </c>
      <c r="D52" s="226" t="s">
        <v>491</v>
      </c>
      <c r="E52" s="226" t="s">
        <v>491</v>
      </c>
      <c r="F52" s="231">
        <f t="shared" si="0"/>
        <v>24</v>
      </c>
    </row>
    <row r="53" spans="1:17" ht="13.5" thickBot="1" x14ac:dyDescent="0.25">
      <c r="A53" s="218" t="s">
        <v>491</v>
      </c>
      <c r="B53" s="226" t="s">
        <v>491</v>
      </c>
      <c r="C53" s="226" t="s">
        <v>491</v>
      </c>
      <c r="D53" s="226" t="s">
        <v>491</v>
      </c>
      <c r="E53" s="226" t="s">
        <v>491</v>
      </c>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v>0</v>
      </c>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v>0</v>
      </c>
      <c r="D60" s="5"/>
      <c r="E60" s="31"/>
      <c r="F60" s="216"/>
      <c r="G60" s="31"/>
      <c r="H60" s="31"/>
      <c r="I60" s="31"/>
      <c r="J60" s="31"/>
      <c r="K60" s="31"/>
      <c r="L60" s="31"/>
      <c r="M60" s="31"/>
      <c r="N60" s="31"/>
      <c r="O60" s="31"/>
      <c r="P60" s="31"/>
      <c r="Q60" s="31"/>
    </row>
    <row r="61" spans="1:17" x14ac:dyDescent="0.2">
      <c r="A61" s="689" t="s">
        <v>160</v>
      </c>
      <c r="B61" s="690"/>
      <c r="C61" s="34">
        <v>0</v>
      </c>
      <c r="E61" s="31"/>
      <c r="F61" s="217"/>
      <c r="G61" s="31"/>
      <c r="H61" s="31"/>
      <c r="I61" s="31"/>
      <c r="J61" s="31"/>
      <c r="K61" s="31"/>
      <c r="L61" s="31"/>
      <c r="M61" s="31"/>
      <c r="N61" s="31"/>
      <c r="O61" s="31"/>
      <c r="P61" s="31"/>
      <c r="Q61" s="31"/>
    </row>
    <row r="62" spans="1:17" x14ac:dyDescent="0.2">
      <c r="A62" s="15" t="s">
        <v>149</v>
      </c>
      <c r="B62" s="613"/>
      <c r="C62" s="38">
        <v>0</v>
      </c>
      <c r="E62" s="31"/>
      <c r="F62" s="217"/>
      <c r="G62" s="31"/>
      <c r="H62" s="31"/>
      <c r="I62" s="31"/>
      <c r="J62" s="31"/>
      <c r="K62" s="31"/>
      <c r="L62" s="31"/>
      <c r="M62" s="31"/>
      <c r="N62" s="31"/>
      <c r="O62" s="31"/>
      <c r="P62" s="31"/>
      <c r="Q62" s="31"/>
    </row>
    <row r="63" spans="1:17" x14ac:dyDescent="0.2">
      <c r="A63" s="17" t="s">
        <v>316</v>
      </c>
      <c r="B63" s="613"/>
      <c r="C63" s="38">
        <v>0</v>
      </c>
      <c r="E63" s="31"/>
      <c r="F63" s="217"/>
      <c r="G63" s="31"/>
      <c r="H63" s="31"/>
      <c r="I63" s="31"/>
      <c r="J63" s="31"/>
      <c r="K63" s="31"/>
      <c r="L63" s="31"/>
      <c r="M63" s="31"/>
      <c r="N63" s="31"/>
      <c r="O63" s="31"/>
      <c r="P63" s="31"/>
      <c r="Q63" s="31"/>
    </row>
    <row r="64" spans="1:17" x14ac:dyDescent="0.2">
      <c r="A64" s="15" t="s">
        <v>315</v>
      </c>
      <c r="B64" s="613"/>
      <c r="C64" s="38">
        <v>0</v>
      </c>
      <c r="E64" s="31"/>
      <c r="F64" s="217"/>
      <c r="G64" s="31"/>
      <c r="H64" s="31"/>
      <c r="I64" s="31"/>
      <c r="J64" s="31"/>
      <c r="K64" s="31"/>
      <c r="L64" s="31"/>
      <c r="M64" s="31"/>
      <c r="N64" s="31"/>
      <c r="O64" s="31"/>
      <c r="P64" s="31"/>
      <c r="Q64" s="31"/>
    </row>
    <row r="65" spans="1:17" x14ac:dyDescent="0.2">
      <c r="A65" s="693" t="s">
        <v>308</v>
      </c>
      <c r="B65" s="694"/>
      <c r="C65" s="35">
        <v>0</v>
      </c>
      <c r="E65" s="31"/>
      <c r="F65" s="217"/>
      <c r="G65" s="31"/>
      <c r="H65" s="31"/>
      <c r="I65" s="31"/>
      <c r="J65" s="31"/>
      <c r="K65" s="31"/>
      <c r="L65" s="31"/>
      <c r="M65" s="31"/>
      <c r="N65" s="31"/>
      <c r="O65" s="31"/>
      <c r="P65" s="31"/>
      <c r="Q65" s="31"/>
    </row>
    <row r="66" spans="1:17" x14ac:dyDescent="0.2">
      <c r="A66" s="612" t="s">
        <v>306</v>
      </c>
      <c r="B66" s="613"/>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v>0</v>
      </c>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612" t="s">
        <v>164</v>
      </c>
      <c r="B70" s="613"/>
      <c r="C70" s="40" t="e">
        <f ca="1">(C67+C68)*C20+C61*(C20-C65)</f>
        <v>#N/A</v>
      </c>
      <c r="E70" s="31"/>
      <c r="F70" s="217"/>
      <c r="G70" s="31"/>
      <c r="H70" s="31"/>
      <c r="I70" s="31"/>
      <c r="J70" s="31"/>
      <c r="K70" s="31"/>
      <c r="L70" s="31"/>
      <c r="M70" s="31"/>
      <c r="N70" s="31"/>
      <c r="O70" s="31"/>
      <c r="P70" s="31"/>
      <c r="Q70" s="31"/>
    </row>
    <row r="71" spans="1:17" x14ac:dyDescent="0.2">
      <c r="A71" s="612" t="s">
        <v>165</v>
      </c>
      <c r="B71" s="613"/>
      <c r="C71" s="41" t="e">
        <f ca="1">(C67+C68)/C15</f>
        <v>#N/A</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v>0</v>
      </c>
      <c r="E73" s="46"/>
    </row>
    <row r="74" spans="1:17" x14ac:dyDescent="0.2">
      <c r="A74" s="695" t="s">
        <v>153</v>
      </c>
      <c r="B74" s="696"/>
      <c r="C74" s="38">
        <v>0</v>
      </c>
      <c r="E74" s="46"/>
    </row>
    <row r="75" spans="1:17" x14ac:dyDescent="0.2">
      <c r="A75" s="695" t="s">
        <v>154</v>
      </c>
      <c r="B75" s="696"/>
      <c r="C75" s="38">
        <v>0</v>
      </c>
      <c r="E75" s="46"/>
    </row>
    <row r="76" spans="1:17" x14ac:dyDescent="0.2">
      <c r="A76" s="689" t="s">
        <v>166</v>
      </c>
      <c r="B76" s="690"/>
      <c r="C76" s="35">
        <v>0</v>
      </c>
    </row>
    <row r="77" spans="1:17" x14ac:dyDescent="0.2">
      <c r="A77" s="689" t="s">
        <v>167</v>
      </c>
      <c r="B77" s="690"/>
      <c r="C77" s="36">
        <f>ROUND(IF(C73=0,0,C21-C73),0)</f>
        <v>0</v>
      </c>
      <c r="D77" s="46"/>
    </row>
    <row r="78" spans="1:17" x14ac:dyDescent="0.2">
      <c r="A78" s="689" t="s">
        <v>168</v>
      </c>
      <c r="B78" s="690"/>
      <c r="C78" s="47">
        <v>0</v>
      </c>
    </row>
    <row r="79" spans="1:17" x14ac:dyDescent="0.2">
      <c r="A79" s="689" t="s">
        <v>169</v>
      </c>
      <c r="B79" s="690"/>
      <c r="C79" s="39">
        <f>C73*C76</f>
        <v>0</v>
      </c>
    </row>
    <row r="80" spans="1:17" x14ac:dyDescent="0.2">
      <c r="A80" s="610" t="s">
        <v>170</v>
      </c>
      <c r="B80" s="611"/>
      <c r="C80" s="40" t="e">
        <f ca="1">(C77+C78)*C25+C73*(C25-C76)</f>
        <v>#N/A</v>
      </c>
    </row>
    <row r="81" spans="1:3" x14ac:dyDescent="0.2">
      <c r="A81" s="689" t="s">
        <v>171</v>
      </c>
      <c r="B81" s="690"/>
      <c r="C81" s="41" t="e">
        <f ca="1">(C77+C78)/C21</f>
        <v>#N/A</v>
      </c>
    </row>
    <row r="82" spans="1:3" x14ac:dyDescent="0.2">
      <c r="A82" s="42"/>
      <c r="B82" s="43"/>
      <c r="C82" s="44"/>
    </row>
    <row r="83" spans="1:3" x14ac:dyDescent="0.2">
      <c r="A83" s="689" t="s">
        <v>172</v>
      </c>
      <c r="B83" s="690"/>
      <c r="C83" s="48">
        <v>0</v>
      </c>
    </row>
    <row r="84" spans="1:3" ht="15" x14ac:dyDescent="0.3">
      <c r="A84" s="689" t="s">
        <v>173</v>
      </c>
      <c r="B84" s="690"/>
      <c r="C84" s="232" t="e">
        <f ca="1">B26-C83</f>
        <v>#N/A</v>
      </c>
    </row>
    <row r="85" spans="1:3" ht="13.5" thickBot="1" x14ac:dyDescent="0.25">
      <c r="A85" s="193" t="s">
        <v>174</v>
      </c>
      <c r="B85" s="194"/>
      <c r="C85" s="233" t="e">
        <f ca="1">IF(B26&gt;0,C84/B26,0)</f>
        <v>#N/A</v>
      </c>
    </row>
    <row r="86" spans="1:3" ht="13.5" thickBot="1" x14ac:dyDescent="0.25">
      <c r="C86" s="30"/>
    </row>
    <row r="87" spans="1:3" ht="13.5" thickBot="1" x14ac:dyDescent="0.25">
      <c r="A87" s="697" t="s">
        <v>175</v>
      </c>
      <c r="B87" s="698"/>
      <c r="C87" s="49" t="e">
        <f ca="1">C70+C80+C84</f>
        <v>#N/A</v>
      </c>
    </row>
    <row r="88" spans="1:3" ht="13.5" thickBot="1" x14ac:dyDescent="0.25">
      <c r="A88" s="699" t="s">
        <v>9</v>
      </c>
      <c r="B88" s="700"/>
      <c r="C88" s="50" t="e">
        <f ca="1">C107</f>
        <v>#N/A</v>
      </c>
    </row>
    <row r="90" spans="1:3" x14ac:dyDescent="0.2">
      <c r="A90" s="701" t="s">
        <v>8</v>
      </c>
      <c r="B90" s="701"/>
      <c r="C90" s="701"/>
    </row>
    <row r="91" spans="1:3" x14ac:dyDescent="0.2">
      <c r="A91" s="609" t="s">
        <v>7</v>
      </c>
      <c r="B91" s="609" t="s">
        <v>6</v>
      </c>
      <c r="C91" s="609" t="s">
        <v>5</v>
      </c>
    </row>
    <row r="92" spans="1:3" x14ac:dyDescent="0.2">
      <c r="A92" s="51">
        <v>1</v>
      </c>
      <c r="B92" s="52" t="e">
        <f ca="1">$C$87</f>
        <v>#N/A</v>
      </c>
      <c r="C92" s="53" t="e">
        <f t="shared" ref="C92:C106" ca="1" si="1">B92/(1+$B$109)^A92</f>
        <v>#N/A</v>
      </c>
    </row>
    <row r="93" spans="1:3" x14ac:dyDescent="0.2">
      <c r="A93" s="51">
        <v>2</v>
      </c>
      <c r="B93" s="52" t="e">
        <f t="shared" ref="B93:B106" ca="1" si="2">$C$87</f>
        <v>#N/A</v>
      </c>
      <c r="C93" s="53" t="e">
        <f t="shared" ca="1" si="1"/>
        <v>#N/A</v>
      </c>
    </row>
    <row r="94" spans="1:3" x14ac:dyDescent="0.2">
      <c r="A94" s="51">
        <v>3</v>
      </c>
      <c r="B94" s="52" t="e">
        <f t="shared" ca="1" si="2"/>
        <v>#N/A</v>
      </c>
      <c r="C94" s="53" t="e">
        <f t="shared" ca="1" si="1"/>
        <v>#N/A</v>
      </c>
    </row>
    <row r="95" spans="1:3" x14ac:dyDescent="0.2">
      <c r="A95" s="51">
        <v>4</v>
      </c>
      <c r="B95" s="52" t="e">
        <f t="shared" ca="1" si="2"/>
        <v>#N/A</v>
      </c>
      <c r="C95" s="53" t="e">
        <f t="shared" ca="1" si="1"/>
        <v>#N/A</v>
      </c>
    </row>
    <row r="96" spans="1:3" x14ac:dyDescent="0.2">
      <c r="A96" s="51">
        <v>5</v>
      </c>
      <c r="B96" s="52" t="e">
        <f t="shared" ca="1" si="2"/>
        <v>#N/A</v>
      </c>
      <c r="C96" s="53" t="e">
        <f t="shared" ca="1" si="1"/>
        <v>#N/A</v>
      </c>
    </row>
    <row r="97" spans="1:17" x14ac:dyDescent="0.2">
      <c r="A97" s="51">
        <v>6</v>
      </c>
      <c r="B97" s="52" t="e">
        <f t="shared" ca="1" si="2"/>
        <v>#N/A</v>
      </c>
      <c r="C97" s="53" t="e">
        <f t="shared" ca="1" si="1"/>
        <v>#N/A</v>
      </c>
    </row>
    <row r="98" spans="1:17" x14ac:dyDescent="0.2">
      <c r="A98" s="51">
        <v>7</v>
      </c>
      <c r="B98" s="52" t="e">
        <f t="shared" ca="1" si="2"/>
        <v>#N/A</v>
      </c>
      <c r="C98" s="53" t="e">
        <f t="shared" ca="1" si="1"/>
        <v>#N/A</v>
      </c>
    </row>
    <row r="99" spans="1:17" x14ac:dyDescent="0.2">
      <c r="A99" s="51">
        <v>8</v>
      </c>
      <c r="B99" s="52" t="e">
        <f t="shared" ca="1" si="2"/>
        <v>#N/A</v>
      </c>
      <c r="C99" s="53" t="e">
        <f t="shared" ca="1" si="1"/>
        <v>#N/A</v>
      </c>
    </row>
    <row r="100" spans="1:17" x14ac:dyDescent="0.2">
      <c r="A100" s="51">
        <v>9</v>
      </c>
      <c r="B100" s="52" t="e">
        <f t="shared" ca="1" si="2"/>
        <v>#N/A</v>
      </c>
      <c r="C100" s="53" t="e">
        <f t="shared" ca="1" si="1"/>
        <v>#N/A</v>
      </c>
    </row>
    <row r="101" spans="1:17" x14ac:dyDescent="0.2">
      <c r="A101" s="51">
        <v>10</v>
      </c>
      <c r="B101" s="52" t="e">
        <f t="shared" ca="1" si="2"/>
        <v>#N/A</v>
      </c>
      <c r="C101" s="53" t="e">
        <f t="shared" ca="1" si="1"/>
        <v>#N/A</v>
      </c>
    </row>
    <row r="102" spans="1:17" s="30" customFormat="1" x14ac:dyDescent="0.2">
      <c r="A102" s="51">
        <v>11</v>
      </c>
      <c r="B102" s="52" t="e">
        <f t="shared" ca="1" si="2"/>
        <v>#N/A</v>
      </c>
      <c r="C102" s="53" t="e">
        <f t="shared" ca="1" si="1"/>
        <v>#N/A</v>
      </c>
      <c r="D102" s="1"/>
      <c r="E102" s="1"/>
      <c r="G102" s="1"/>
      <c r="H102" s="1"/>
      <c r="I102" s="1"/>
      <c r="J102" s="1"/>
      <c r="K102" s="1"/>
      <c r="L102" s="1"/>
      <c r="M102" s="1"/>
      <c r="N102" s="1"/>
      <c r="O102" s="1"/>
      <c r="P102" s="1"/>
      <c r="Q102" s="1"/>
    </row>
    <row r="103" spans="1:17" s="30" customFormat="1" x14ac:dyDescent="0.2">
      <c r="A103" s="51">
        <v>12</v>
      </c>
      <c r="B103" s="52" t="e">
        <f t="shared" ca="1" si="2"/>
        <v>#N/A</v>
      </c>
      <c r="C103" s="53" t="e">
        <f t="shared" ca="1" si="1"/>
        <v>#N/A</v>
      </c>
      <c r="D103" s="1"/>
      <c r="E103" s="1"/>
      <c r="G103" s="1"/>
      <c r="H103" s="1"/>
      <c r="I103" s="1"/>
      <c r="J103" s="1"/>
      <c r="K103" s="1"/>
      <c r="L103" s="1"/>
      <c r="M103" s="1"/>
      <c r="N103" s="1"/>
      <c r="O103" s="1"/>
      <c r="P103" s="1"/>
      <c r="Q103" s="1"/>
    </row>
    <row r="104" spans="1:17" s="30" customFormat="1" x14ac:dyDescent="0.2">
      <c r="A104" s="51">
        <v>13</v>
      </c>
      <c r="B104" s="52" t="e">
        <f t="shared" ca="1" si="2"/>
        <v>#N/A</v>
      </c>
      <c r="C104" s="53" t="e">
        <f t="shared" ca="1" si="1"/>
        <v>#N/A</v>
      </c>
      <c r="D104" s="1"/>
      <c r="E104" s="1"/>
      <c r="G104" s="1"/>
      <c r="H104" s="1"/>
      <c r="I104" s="1"/>
      <c r="J104" s="1"/>
      <c r="K104" s="1"/>
      <c r="L104" s="1"/>
      <c r="M104" s="1"/>
      <c r="N104" s="1"/>
      <c r="O104" s="1"/>
      <c r="P104" s="1"/>
      <c r="Q104" s="1"/>
    </row>
    <row r="105" spans="1:17" s="30" customFormat="1" x14ac:dyDescent="0.2">
      <c r="A105" s="51">
        <v>14</v>
      </c>
      <c r="B105" s="52" t="e">
        <f t="shared" ca="1" si="2"/>
        <v>#N/A</v>
      </c>
      <c r="C105" s="53" t="e">
        <f t="shared" ca="1" si="1"/>
        <v>#N/A</v>
      </c>
      <c r="D105" s="1"/>
      <c r="E105" s="1"/>
      <c r="G105" s="1"/>
      <c r="H105" s="1"/>
      <c r="I105" s="1"/>
      <c r="J105" s="1"/>
      <c r="K105" s="1"/>
      <c r="L105" s="1"/>
      <c r="M105" s="1"/>
      <c r="N105" s="1"/>
      <c r="O105" s="1"/>
      <c r="P105" s="1"/>
      <c r="Q105" s="1"/>
    </row>
    <row r="106" spans="1:17" s="30" customFormat="1" x14ac:dyDescent="0.2">
      <c r="A106" s="51">
        <v>15</v>
      </c>
      <c r="B106" s="52" t="e">
        <f t="shared" ca="1" si="2"/>
        <v>#N/A</v>
      </c>
      <c r="C106" s="53" t="e">
        <f t="shared" ca="1" si="1"/>
        <v>#N/A</v>
      </c>
      <c r="D106" s="1"/>
      <c r="E106" s="1"/>
      <c r="G106" s="1"/>
      <c r="H106" s="1"/>
      <c r="I106" s="1"/>
      <c r="J106" s="1"/>
      <c r="K106" s="1"/>
      <c r="L106" s="1"/>
      <c r="M106" s="1"/>
      <c r="N106" s="1"/>
      <c r="O106" s="1"/>
      <c r="P106" s="1"/>
      <c r="Q106" s="1"/>
    </row>
    <row r="107" spans="1:17" s="30" customFormat="1" x14ac:dyDescent="0.2">
      <c r="A107" s="702" t="s">
        <v>4</v>
      </c>
      <c r="B107" s="702"/>
      <c r="C107" s="54" t="e">
        <f ca="1">SUM(C92:C106)</f>
        <v>#N/A</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v>0</v>
      </c>
      <c r="C114" s="59">
        <f t="shared" ref="C114:C119" si="3">B114*$C$61</f>
        <v>0</v>
      </c>
      <c r="D114" s="237">
        <v>0</v>
      </c>
      <c r="E114" s="235" t="s">
        <v>491</v>
      </c>
      <c r="G114" s="1"/>
      <c r="H114" s="1"/>
      <c r="I114" s="1"/>
      <c r="J114" s="1"/>
      <c r="K114" s="1"/>
      <c r="L114" s="1"/>
      <c r="M114" s="1"/>
      <c r="N114" s="1"/>
      <c r="O114" s="1"/>
      <c r="P114" s="1"/>
      <c r="Q114" s="1"/>
    </row>
    <row r="115" spans="1:17" s="30" customFormat="1" x14ac:dyDescent="0.2">
      <c r="A115" s="241" t="s">
        <v>318</v>
      </c>
      <c r="B115" s="234">
        <v>0</v>
      </c>
      <c r="C115" s="59">
        <f t="shared" si="3"/>
        <v>0</v>
      </c>
      <c r="D115" s="237">
        <v>0</v>
      </c>
      <c r="E115" s="235">
        <v>0</v>
      </c>
      <c r="G115" s="1"/>
      <c r="H115" s="1"/>
      <c r="I115" s="1"/>
      <c r="J115" s="1"/>
      <c r="K115" s="1"/>
      <c r="L115" s="1"/>
      <c r="M115" s="1"/>
      <c r="N115" s="1"/>
      <c r="O115" s="1"/>
      <c r="P115" s="1"/>
      <c r="Q115" s="1"/>
    </row>
    <row r="116" spans="1:17" s="30" customFormat="1" x14ac:dyDescent="0.2">
      <c r="A116" s="241" t="s">
        <v>319</v>
      </c>
      <c r="B116" s="234">
        <v>0</v>
      </c>
      <c r="C116" s="59">
        <f t="shared" si="3"/>
        <v>0</v>
      </c>
      <c r="D116" s="237">
        <v>0</v>
      </c>
      <c r="E116" s="235">
        <v>0</v>
      </c>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v>0</v>
      </c>
      <c r="C124" s="61">
        <v>3000</v>
      </c>
    </row>
    <row r="125" spans="1:17" x14ac:dyDescent="0.2">
      <c r="A125" s="58" t="s">
        <v>184</v>
      </c>
      <c r="B125" s="61">
        <v>0</v>
      </c>
      <c r="C125" s="61">
        <v>2500</v>
      </c>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45"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A8DD1-5A4E-45AA-B515-C37A0A533601}">
  <sheetPr>
    <tabColor rgb="FFFF0000"/>
    <pageSetUpPr fitToPage="1"/>
  </sheetPr>
  <dimension ref="A1:Q125"/>
  <sheetViews>
    <sheetView topLeftCell="A79" workbookViewId="0">
      <selection activeCell="I50" sqref="I50"/>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e">
        <f ca="1">INDEX('Referenčne količine'!$C$4:$C$9,MATCH('OB013'!B6,'Referenčne količine'!$B$4:$B$9,0))</f>
        <v>#N/A</v>
      </c>
      <c r="C4" s="675"/>
    </row>
    <row r="5" spans="1:7" x14ac:dyDescent="0.2">
      <c r="A5" s="4" t="s">
        <v>16</v>
      </c>
      <c r="B5" s="676" t="e">
        <f ca="1">INDEX('Referenčne količine'!$D$4:$D$9,MATCH('OB013'!B6,'Referenčne količine'!$B$4:$B$9,0))</f>
        <v>#N/A</v>
      </c>
      <c r="C5" s="677"/>
    </row>
    <row r="6" spans="1:7" x14ac:dyDescent="0.2">
      <c r="A6" s="4" t="s">
        <v>15</v>
      </c>
      <c r="B6" s="676" t="str">
        <f ca="1">RIGHT(CELL("filename",A1),5)</f>
        <v>OB013</v>
      </c>
      <c r="C6" s="677"/>
    </row>
    <row r="7" spans="1:7" x14ac:dyDescent="0.2">
      <c r="A7" s="4" t="s">
        <v>14</v>
      </c>
      <c r="B7" s="678" t="e">
        <f ca="1">INDEX('Referenčne količine'!$G$4:$G$9,MATCH('OB013'!B6,'Referenčne količine'!$B$4:$B$9,0))</f>
        <v>#N/A</v>
      </c>
      <c r="C7" s="679"/>
      <c r="F7" s="214"/>
      <c r="G7" s="5"/>
    </row>
    <row r="8" spans="1:7" x14ac:dyDescent="0.2">
      <c r="A8" s="4" t="s">
        <v>294</v>
      </c>
      <c r="B8" s="680" t="e">
        <f ca="1">INDEX('Referenčne količine'!$P$4:$P$9,MATCH('OB013'!B6,'Referenčne količine'!$B$4:$B$9,0))</f>
        <v>#N/A</v>
      </c>
      <c r="C8" s="681"/>
      <c r="F8" s="214"/>
      <c r="G8" s="5"/>
    </row>
    <row r="9" spans="1:7" x14ac:dyDescent="0.2">
      <c r="A9" s="4" t="s">
        <v>295</v>
      </c>
      <c r="B9" s="680" t="e">
        <f ca="1">INDEX('Referenčne količine'!$W$4:$W$9,MATCH('OB013'!B6,'Referenčne količine'!$B$4:$B$9,0))</f>
        <v>#N/A</v>
      </c>
      <c r="C9" s="681"/>
      <c r="F9" s="214"/>
      <c r="G9" s="5"/>
    </row>
    <row r="10" spans="1:7" ht="13.5" thickBot="1" x14ac:dyDescent="0.25">
      <c r="A10" s="213" t="s">
        <v>296</v>
      </c>
      <c r="B10" s="682" t="e">
        <f ca="1">INDEX('Referenčne količine'!$AD$4:$AD$9,MATCH('OB013'!B6,'Referenčne količine'!$B$4:$B$9,0))</f>
        <v>#N/A</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t="e">
        <f ca="1">INDEX('Referenčne količine'!$AK$4:$AK$9,MATCH('OB013'!$B$6,'Referenčne količine'!$B$4:$B$9,0))</f>
        <v>#N/A</v>
      </c>
      <c r="C14" s="11" t="e">
        <f ca="1">INDEX('Referenčne količine'!$AS$4:$AS$9,MATCH('OB013'!$B$6,'Referenčne količine'!$B$4:$B$9,0))</f>
        <v>#N/A</v>
      </c>
      <c r="E14" s="12"/>
      <c r="F14" s="215"/>
    </row>
    <row r="15" spans="1:7" x14ac:dyDescent="0.2">
      <c r="A15" s="13" t="s">
        <v>148</v>
      </c>
      <c r="B15" s="14" t="e">
        <f ca="1">INDEX('Referenčne količine'!$AM$4:$AM$9,MATCH('OB013'!$B$6,'Referenčne količine'!$B$4:$B$9,0))</f>
        <v>#N/A</v>
      </c>
      <c r="C15" s="14" t="e">
        <f ca="1">INDEX('Referenčne količine'!$AT$4:$AT$9,MATCH('OB013'!$B$6,'Referenčne količine'!$B$4:$B$9,0))</f>
        <v>#N/A</v>
      </c>
      <c r="E15" s="12"/>
      <c r="F15" s="215"/>
    </row>
    <row r="16" spans="1:7" x14ac:dyDescent="0.2">
      <c r="A16" s="15" t="s">
        <v>149</v>
      </c>
      <c r="B16" s="16" t="e">
        <f ca="1">INDEX('Referenčne količine'!$AO$4:$AO$9,MATCH('OB013'!$B$6,'Referenčne količine'!$B$4:$B$9,0))</f>
        <v>#N/A</v>
      </c>
      <c r="C16" s="16" t="e">
        <f ca="1">INDEX('Referenčne količine'!$AW$4:$AW$9,MATCH('OB013'!$B$6,'Referenčne količine'!$B$4:$B$9,0))</f>
        <v>#N/A</v>
      </c>
      <c r="E16" s="5"/>
      <c r="F16" s="214"/>
    </row>
    <row r="17" spans="1:6" x14ac:dyDescent="0.2">
      <c r="A17" s="17" t="s">
        <v>316</v>
      </c>
      <c r="B17" s="16" t="e">
        <f ca="1">INDEX('Referenčne količine'!$AP$4:$AP$9,MATCH('OB013'!$B$6,'Referenčne količine'!$B$4:$B$9,0))</f>
        <v>#N/A</v>
      </c>
      <c r="C17" s="16" t="e">
        <f ca="1">INDEX('Referenčne količine'!$AX$4:$AX$9,MATCH('OB013'!$B$6,'Referenčne količine'!$B$4:$B$9,0))</f>
        <v>#N/A</v>
      </c>
      <c r="E17" s="5"/>
      <c r="F17" s="214"/>
    </row>
    <row r="18" spans="1:6" x14ac:dyDescent="0.2">
      <c r="A18" s="15" t="s">
        <v>315</v>
      </c>
      <c r="B18" s="16" t="e">
        <f ca="1">INDEX('Referenčne količine'!$AQ$4:$AQ$9,MATCH('OB013'!$B$6,'Referenčne količine'!$B$4:$B$9,0))</f>
        <v>#N/A</v>
      </c>
      <c r="C18" s="16" t="e">
        <f ca="1">INDEX('Referenčne količine'!$AY$4:$AY$9,MATCH('OB013'!$B$6,'Referenčne količine'!$B$4:$B$9,0))</f>
        <v>#N/A</v>
      </c>
      <c r="E18" s="12"/>
      <c r="F18" s="215"/>
    </row>
    <row r="19" spans="1:6" x14ac:dyDescent="0.2">
      <c r="A19" s="15" t="s">
        <v>150</v>
      </c>
      <c r="B19" s="18" t="e">
        <f ca="1">INDEX('Referenčne količine'!$AL$4:$AL$9,MATCH('OB013'!$B$6,'Referenčne količine'!$B$4:$B$9,0))</f>
        <v>#N/A</v>
      </c>
      <c r="C19" s="18" t="e">
        <f ca="1">INDEX('Referenčne količine'!$AV$4:$AV$9,MATCH('OB013'!$B$6,'Referenčne količine'!$B$4:$B$9,0))</f>
        <v>#N/A</v>
      </c>
      <c r="E19" s="12"/>
      <c r="F19" s="215"/>
    </row>
    <row r="20" spans="1:6" ht="13.5" thickBot="1" x14ac:dyDescent="0.25">
      <c r="A20" s="19" t="s">
        <v>151</v>
      </c>
      <c r="B20" s="20" t="e">
        <f ca="1">INDEX('Referenčne količine'!$AN$4:$AN$9,MATCH('OB013'!$B$6,'Referenčne količine'!$B$4:$B$9,0))</f>
        <v>#N/A</v>
      </c>
      <c r="C20" s="20" t="e">
        <f ca="1">INDEX('Referenčne količine'!$AN$4:$AN$9,MATCH('OB013'!$B$6,'Referenčne količine'!$B$4:$B$9,0))</f>
        <v>#N/A</v>
      </c>
      <c r="E20" s="12"/>
      <c r="F20" s="215"/>
    </row>
    <row r="21" spans="1:6" x14ac:dyDescent="0.2">
      <c r="A21" s="9" t="s">
        <v>152</v>
      </c>
      <c r="B21" s="10" t="e">
        <f ca="1">INDEX('Referenčne količine'!$AZ$4:$AZ$9,MATCH('OB013'!$B$6,'Referenčne količine'!$B$4:$B$9,0))</f>
        <v>#N/A</v>
      </c>
      <c r="C21" s="10" t="e">
        <f ca="1">INDEX('Referenčne količine'!$BF$4:$BF$9,MATCH('OB013'!$B$6,'Referenčne količine'!$B$4:$B$9,0))</f>
        <v>#N/A</v>
      </c>
      <c r="E21" s="12"/>
      <c r="F21" s="215"/>
    </row>
    <row r="22" spans="1:6" x14ac:dyDescent="0.2">
      <c r="A22" s="21" t="s">
        <v>153</v>
      </c>
      <c r="B22" s="14" t="e">
        <f ca="1">INDEX('Referenčne količine'!$BC$4:$BC$9,MATCH('OB013'!$B$6,'Referenčne količine'!$B$4:$B$9,0))</f>
        <v>#N/A</v>
      </c>
      <c r="C22" s="14" t="e">
        <f ca="1">INDEX('Referenčne količine'!$BH$4:$BH$9,MATCH('OB013'!$B$6,'Referenčne količine'!$B$4:$B$9,0))</f>
        <v>#N/A</v>
      </c>
      <c r="E22" s="12"/>
      <c r="F22" s="215"/>
    </row>
    <row r="23" spans="1:6" x14ac:dyDescent="0.2">
      <c r="A23" s="21" t="s">
        <v>154</v>
      </c>
      <c r="B23" s="14" t="e">
        <f ca="1">INDEX('Referenčne količine'!$BD$4:$BD$9,MATCH('OB013'!$B$6,'Referenčne količine'!$B$4:$B$9,0))</f>
        <v>#N/A</v>
      </c>
      <c r="C23" s="14" t="e">
        <f ca="1">INDEX('Referenčne količine'!$BI$4:$BI$9,MATCH('OB013'!$B$6,'Referenčne količine'!$B$4:$B$9,0))</f>
        <v>#N/A</v>
      </c>
      <c r="E23" s="12"/>
      <c r="F23" s="215"/>
    </row>
    <row r="24" spans="1:6" x14ac:dyDescent="0.2">
      <c r="A24" s="22" t="s">
        <v>155</v>
      </c>
      <c r="B24" s="23" t="e">
        <f ca="1">INDEX('Referenčne količine'!$BA$4:$BA$9,MATCH('OB013'!$B$6,'Referenčne količine'!$B$4:$B$9,0))</f>
        <v>#N/A</v>
      </c>
      <c r="C24" s="24" t="e">
        <f ca="1">INDEX('Referenčne količine'!$BG$4:$BG$9,MATCH('OB013'!$B$6,'Referenčne količine'!$B$4:$B$9,0))</f>
        <v>#N/A</v>
      </c>
      <c r="D24" s="25"/>
      <c r="E24" s="12"/>
      <c r="F24" s="215"/>
    </row>
    <row r="25" spans="1:6" ht="13.5" thickBot="1" x14ac:dyDescent="0.25">
      <c r="A25" s="26" t="s">
        <v>156</v>
      </c>
      <c r="B25" s="62" t="e">
        <f ca="1">INDEX('Referenčne količine'!$BB$4:$BB$9,MATCH('OB013'!$B$6,'Referenčne količine'!$B$4:$B$9,0))</f>
        <v>#N/A</v>
      </c>
      <c r="C25" s="62" t="e">
        <f ca="1">INDEX('Referenčne količine'!$BB$4:$BB$9,MATCH('OB013'!$B$6,'Referenčne količine'!$B$4:$B$9,0))</f>
        <v>#N/A</v>
      </c>
      <c r="E25" s="12"/>
      <c r="F25" s="215"/>
    </row>
    <row r="26" spans="1:6" ht="14.45" customHeight="1" thickBot="1" x14ac:dyDescent="0.25">
      <c r="A26" s="27" t="s">
        <v>157</v>
      </c>
      <c r="B26" s="28" t="e">
        <f ca="1">INDEX('Referenčne količine'!$BK$4:$BK$9,MATCH('OB013'!$B$6,'Referenčne količine'!$B$4:$B$9,0))</f>
        <v>#N/A</v>
      </c>
      <c r="C26" s="29"/>
      <c r="E26" s="12"/>
      <c r="F26" s="215"/>
    </row>
    <row r="27" spans="1:6" ht="13.5" thickBot="1" x14ac:dyDescent="0.25">
      <c r="F27" s="229">
        <f ca="1">VALUE(RIGHT(CELL("filename",A1),2))</f>
        <v>13</v>
      </c>
    </row>
    <row r="28" spans="1:6" ht="25.5" x14ac:dyDescent="0.2">
      <c r="A28" s="219" t="s">
        <v>158</v>
      </c>
      <c r="B28" s="221" t="s">
        <v>299</v>
      </c>
      <c r="C28" s="222" t="s">
        <v>300</v>
      </c>
      <c r="D28" s="221" t="s">
        <v>302</v>
      </c>
      <c r="E28" s="221" t="s">
        <v>301</v>
      </c>
      <c r="F28" s="230"/>
    </row>
    <row r="29" spans="1:6" x14ac:dyDescent="0.2">
      <c r="A29" s="218" t="s">
        <v>491</v>
      </c>
      <c r="B29" s="226" t="s">
        <v>491</v>
      </c>
      <c r="C29" s="226" t="s">
        <v>491</v>
      </c>
      <c r="D29" s="226" t="s">
        <v>491</v>
      </c>
      <c r="E29" s="226" t="s">
        <v>491</v>
      </c>
      <c r="F29" s="231">
        <v>1</v>
      </c>
    </row>
    <row r="30" spans="1:6" ht="13.15" customHeight="1" x14ac:dyDescent="0.2">
      <c r="A30" s="218" t="s">
        <v>491</v>
      </c>
      <c r="B30" s="226" t="s">
        <v>491</v>
      </c>
      <c r="C30" s="226" t="s">
        <v>491</v>
      </c>
      <c r="D30" s="226" t="s">
        <v>491</v>
      </c>
      <c r="E30" s="226" t="s">
        <v>491</v>
      </c>
      <c r="F30" s="231">
        <f t="shared" ref="F30:F53" si="0">F29+1</f>
        <v>2</v>
      </c>
    </row>
    <row r="31" spans="1:6" x14ac:dyDescent="0.2">
      <c r="A31" s="218" t="s">
        <v>491</v>
      </c>
      <c r="B31" s="226" t="s">
        <v>491</v>
      </c>
      <c r="C31" s="226" t="s">
        <v>491</v>
      </c>
      <c r="D31" s="226" t="s">
        <v>491</v>
      </c>
      <c r="E31" s="226" t="s">
        <v>491</v>
      </c>
      <c r="F31" s="231">
        <f t="shared" si="0"/>
        <v>3</v>
      </c>
    </row>
    <row r="32" spans="1:6" x14ac:dyDescent="0.2">
      <c r="A32" s="218" t="s">
        <v>491</v>
      </c>
      <c r="B32" s="226" t="s">
        <v>491</v>
      </c>
      <c r="C32" s="226" t="s">
        <v>491</v>
      </c>
      <c r="D32" s="226" t="s">
        <v>491</v>
      </c>
      <c r="E32" s="226" t="s">
        <v>491</v>
      </c>
      <c r="F32" s="231">
        <f t="shared" si="0"/>
        <v>4</v>
      </c>
    </row>
    <row r="33" spans="1:6" x14ac:dyDescent="0.2">
      <c r="A33" s="218" t="s">
        <v>491</v>
      </c>
      <c r="B33" s="226" t="s">
        <v>491</v>
      </c>
      <c r="C33" s="226" t="s">
        <v>491</v>
      </c>
      <c r="D33" s="226" t="s">
        <v>491</v>
      </c>
      <c r="E33" s="226" t="s">
        <v>491</v>
      </c>
      <c r="F33" s="231">
        <f t="shared" si="0"/>
        <v>5</v>
      </c>
    </row>
    <row r="34" spans="1:6" s="30" customFormat="1" x14ac:dyDescent="0.2">
      <c r="A34" s="218" t="s">
        <v>491</v>
      </c>
      <c r="B34" s="226" t="s">
        <v>491</v>
      </c>
      <c r="C34" s="226" t="s">
        <v>491</v>
      </c>
      <c r="D34" s="226" t="s">
        <v>491</v>
      </c>
      <c r="E34" s="226" t="s">
        <v>491</v>
      </c>
      <c r="F34" s="231">
        <f t="shared" si="0"/>
        <v>6</v>
      </c>
    </row>
    <row r="35" spans="1:6" x14ac:dyDescent="0.2">
      <c r="A35" s="218" t="s">
        <v>491</v>
      </c>
      <c r="B35" s="226" t="s">
        <v>491</v>
      </c>
      <c r="C35" s="226" t="s">
        <v>491</v>
      </c>
      <c r="D35" s="226" t="s">
        <v>491</v>
      </c>
      <c r="E35" s="226" t="s">
        <v>491</v>
      </c>
      <c r="F35" s="231">
        <f t="shared" si="0"/>
        <v>7</v>
      </c>
    </row>
    <row r="36" spans="1:6" x14ac:dyDescent="0.2">
      <c r="A36" s="218" t="s">
        <v>491</v>
      </c>
      <c r="B36" s="226" t="s">
        <v>491</v>
      </c>
      <c r="C36" s="226" t="s">
        <v>491</v>
      </c>
      <c r="D36" s="226" t="s">
        <v>491</v>
      </c>
      <c r="E36" s="226" t="s">
        <v>491</v>
      </c>
      <c r="F36" s="231">
        <f t="shared" si="0"/>
        <v>8</v>
      </c>
    </row>
    <row r="37" spans="1:6" s="30" customFormat="1" x14ac:dyDescent="0.2">
      <c r="A37" s="218" t="s">
        <v>491</v>
      </c>
      <c r="B37" s="226" t="s">
        <v>491</v>
      </c>
      <c r="C37" s="226" t="s">
        <v>491</v>
      </c>
      <c r="D37" s="226" t="s">
        <v>491</v>
      </c>
      <c r="E37" s="226" t="s">
        <v>491</v>
      </c>
      <c r="F37" s="231">
        <f t="shared" si="0"/>
        <v>9</v>
      </c>
    </row>
    <row r="38" spans="1:6" x14ac:dyDescent="0.2">
      <c r="A38" s="218" t="s">
        <v>491</v>
      </c>
      <c r="B38" s="226" t="s">
        <v>491</v>
      </c>
      <c r="C38" s="226" t="s">
        <v>491</v>
      </c>
      <c r="D38" s="226" t="s">
        <v>491</v>
      </c>
      <c r="E38" s="226" t="s">
        <v>491</v>
      </c>
      <c r="F38" s="231">
        <f t="shared" si="0"/>
        <v>10</v>
      </c>
    </row>
    <row r="39" spans="1:6" x14ac:dyDescent="0.2">
      <c r="A39" s="218" t="s">
        <v>491</v>
      </c>
      <c r="B39" s="226" t="s">
        <v>491</v>
      </c>
      <c r="C39" s="226" t="s">
        <v>491</v>
      </c>
      <c r="D39" s="226" t="s">
        <v>491</v>
      </c>
      <c r="E39" s="226" t="s">
        <v>491</v>
      </c>
      <c r="F39" s="231">
        <f t="shared" si="0"/>
        <v>11</v>
      </c>
    </row>
    <row r="40" spans="1:6" ht="13.15" customHeight="1" x14ac:dyDescent="0.2">
      <c r="A40" s="218" t="s">
        <v>491</v>
      </c>
      <c r="B40" s="226" t="s">
        <v>491</v>
      </c>
      <c r="C40" s="226" t="s">
        <v>491</v>
      </c>
      <c r="D40" s="226" t="s">
        <v>491</v>
      </c>
      <c r="E40" s="226" t="s">
        <v>491</v>
      </c>
      <c r="F40" s="231">
        <f t="shared" si="0"/>
        <v>12</v>
      </c>
    </row>
    <row r="41" spans="1:6" x14ac:dyDescent="0.2">
      <c r="A41" s="218" t="s">
        <v>491</v>
      </c>
      <c r="B41" s="226" t="s">
        <v>491</v>
      </c>
      <c r="C41" s="226" t="s">
        <v>491</v>
      </c>
      <c r="D41" s="226" t="s">
        <v>491</v>
      </c>
      <c r="E41" s="226" t="s">
        <v>491</v>
      </c>
      <c r="F41" s="231">
        <f t="shared" si="0"/>
        <v>13</v>
      </c>
    </row>
    <row r="42" spans="1:6" x14ac:dyDescent="0.2">
      <c r="A42" s="218" t="s">
        <v>491</v>
      </c>
      <c r="B42" s="226" t="s">
        <v>491</v>
      </c>
      <c r="C42" s="226" t="s">
        <v>491</v>
      </c>
      <c r="D42" s="226" t="s">
        <v>491</v>
      </c>
      <c r="E42" s="226" t="s">
        <v>491</v>
      </c>
      <c r="F42" s="231">
        <f t="shared" si="0"/>
        <v>14</v>
      </c>
    </row>
    <row r="43" spans="1:6" x14ac:dyDescent="0.2">
      <c r="A43" s="218" t="s">
        <v>491</v>
      </c>
      <c r="B43" s="226" t="s">
        <v>491</v>
      </c>
      <c r="C43" s="226" t="s">
        <v>491</v>
      </c>
      <c r="D43" s="226" t="s">
        <v>491</v>
      </c>
      <c r="E43" s="226" t="s">
        <v>491</v>
      </c>
      <c r="F43" s="231">
        <f t="shared" si="0"/>
        <v>15</v>
      </c>
    </row>
    <row r="44" spans="1:6" x14ac:dyDescent="0.2">
      <c r="A44" s="218" t="s">
        <v>491</v>
      </c>
      <c r="B44" s="226" t="s">
        <v>491</v>
      </c>
      <c r="C44" s="226" t="s">
        <v>491</v>
      </c>
      <c r="D44" s="226" t="s">
        <v>491</v>
      </c>
      <c r="E44" s="226" t="s">
        <v>491</v>
      </c>
      <c r="F44" s="231">
        <f t="shared" si="0"/>
        <v>16</v>
      </c>
    </row>
    <row r="45" spans="1:6" ht="15" customHeight="1" x14ac:dyDescent="0.2">
      <c r="A45" s="218" t="s">
        <v>491</v>
      </c>
      <c r="B45" s="226" t="s">
        <v>491</v>
      </c>
      <c r="C45" s="226" t="s">
        <v>491</v>
      </c>
      <c r="D45" s="226" t="s">
        <v>491</v>
      </c>
      <c r="E45" s="226" t="s">
        <v>491</v>
      </c>
      <c r="F45" s="231">
        <f t="shared" si="0"/>
        <v>17</v>
      </c>
    </row>
    <row r="46" spans="1:6" x14ac:dyDescent="0.2">
      <c r="A46" s="218" t="s">
        <v>491</v>
      </c>
      <c r="B46" s="226" t="s">
        <v>491</v>
      </c>
      <c r="C46" s="226" t="s">
        <v>491</v>
      </c>
      <c r="D46" s="226" t="s">
        <v>491</v>
      </c>
      <c r="E46" s="226" t="s">
        <v>491</v>
      </c>
      <c r="F46" s="231">
        <f t="shared" si="0"/>
        <v>18</v>
      </c>
    </row>
    <row r="47" spans="1:6" x14ac:dyDescent="0.2">
      <c r="A47" s="218" t="s">
        <v>491</v>
      </c>
      <c r="B47" s="226" t="s">
        <v>491</v>
      </c>
      <c r="C47" s="226" t="s">
        <v>491</v>
      </c>
      <c r="D47" s="226" t="s">
        <v>491</v>
      </c>
      <c r="E47" s="226" t="s">
        <v>491</v>
      </c>
      <c r="F47" s="231">
        <f t="shared" si="0"/>
        <v>19</v>
      </c>
    </row>
    <row r="48" spans="1:6" x14ac:dyDescent="0.2">
      <c r="A48" s="218" t="s">
        <v>491</v>
      </c>
      <c r="B48" s="226" t="s">
        <v>491</v>
      </c>
      <c r="C48" s="226" t="s">
        <v>491</v>
      </c>
      <c r="D48" s="226" t="s">
        <v>491</v>
      </c>
      <c r="E48" s="226" t="s">
        <v>491</v>
      </c>
      <c r="F48" s="231">
        <f t="shared" si="0"/>
        <v>20</v>
      </c>
    </row>
    <row r="49" spans="1:17" x14ac:dyDescent="0.2">
      <c r="A49" s="218" t="s">
        <v>491</v>
      </c>
      <c r="B49" s="226" t="s">
        <v>491</v>
      </c>
      <c r="C49" s="226" t="s">
        <v>491</v>
      </c>
      <c r="D49" s="226" t="s">
        <v>491</v>
      </c>
      <c r="E49" s="226" t="s">
        <v>491</v>
      </c>
      <c r="F49" s="231">
        <f t="shared" si="0"/>
        <v>21</v>
      </c>
    </row>
    <row r="50" spans="1:17" x14ac:dyDescent="0.2">
      <c r="A50" s="218" t="s">
        <v>491</v>
      </c>
      <c r="B50" s="226" t="s">
        <v>491</v>
      </c>
      <c r="C50" s="226" t="s">
        <v>491</v>
      </c>
      <c r="D50" s="226" t="s">
        <v>491</v>
      </c>
      <c r="E50" s="226" t="s">
        <v>491</v>
      </c>
      <c r="F50" s="231">
        <f t="shared" si="0"/>
        <v>22</v>
      </c>
    </row>
    <row r="51" spans="1:17" x14ac:dyDescent="0.2">
      <c r="A51" s="218" t="s">
        <v>491</v>
      </c>
      <c r="B51" s="226" t="s">
        <v>491</v>
      </c>
      <c r="C51" s="226" t="s">
        <v>491</v>
      </c>
      <c r="D51" s="226" t="s">
        <v>491</v>
      </c>
      <c r="E51" s="226" t="s">
        <v>491</v>
      </c>
      <c r="F51" s="231">
        <f t="shared" si="0"/>
        <v>23</v>
      </c>
    </row>
    <row r="52" spans="1:17" x14ac:dyDescent="0.2">
      <c r="A52" s="218" t="s">
        <v>491</v>
      </c>
      <c r="B52" s="226" t="s">
        <v>491</v>
      </c>
      <c r="C52" s="226" t="s">
        <v>491</v>
      </c>
      <c r="D52" s="226" t="s">
        <v>491</v>
      </c>
      <c r="E52" s="226" t="s">
        <v>491</v>
      </c>
      <c r="F52" s="231">
        <f t="shared" si="0"/>
        <v>24</v>
      </c>
    </row>
    <row r="53" spans="1:17" ht="13.5" thickBot="1" x14ac:dyDescent="0.25">
      <c r="A53" s="218" t="s">
        <v>491</v>
      </c>
      <c r="B53" s="226" t="s">
        <v>491</v>
      </c>
      <c r="C53" s="226" t="s">
        <v>491</v>
      </c>
      <c r="D53" s="226" t="s">
        <v>491</v>
      </c>
      <c r="E53" s="226" t="s">
        <v>491</v>
      </c>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v>0</v>
      </c>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v>0</v>
      </c>
      <c r="D60" s="5"/>
      <c r="E60" s="31"/>
      <c r="F60" s="216"/>
      <c r="G60" s="31"/>
      <c r="H60" s="31"/>
      <c r="I60" s="31"/>
      <c r="J60" s="31"/>
      <c r="K60" s="31"/>
      <c r="L60" s="31"/>
      <c r="M60" s="31"/>
      <c r="N60" s="31"/>
      <c r="O60" s="31"/>
      <c r="P60" s="31"/>
      <c r="Q60" s="31"/>
    </row>
    <row r="61" spans="1:17" x14ac:dyDescent="0.2">
      <c r="A61" s="689" t="s">
        <v>160</v>
      </c>
      <c r="B61" s="690"/>
      <c r="C61" s="34">
        <v>0</v>
      </c>
      <c r="E61" s="31"/>
      <c r="F61" s="217"/>
      <c r="G61" s="31"/>
      <c r="H61" s="31"/>
      <c r="I61" s="31"/>
      <c r="J61" s="31"/>
      <c r="K61" s="31"/>
      <c r="L61" s="31"/>
      <c r="M61" s="31"/>
      <c r="N61" s="31"/>
      <c r="O61" s="31"/>
      <c r="P61" s="31"/>
      <c r="Q61" s="31"/>
    </row>
    <row r="62" spans="1:17" x14ac:dyDescent="0.2">
      <c r="A62" s="15" t="s">
        <v>149</v>
      </c>
      <c r="B62" s="613"/>
      <c r="C62" s="38">
        <v>0</v>
      </c>
      <c r="E62" s="31"/>
      <c r="F62" s="217"/>
      <c r="G62" s="31"/>
      <c r="H62" s="31"/>
      <c r="I62" s="31"/>
      <c r="J62" s="31"/>
      <c r="K62" s="31"/>
      <c r="L62" s="31"/>
      <c r="M62" s="31"/>
      <c r="N62" s="31"/>
      <c r="O62" s="31"/>
      <c r="P62" s="31"/>
      <c r="Q62" s="31"/>
    </row>
    <row r="63" spans="1:17" x14ac:dyDescent="0.2">
      <c r="A63" s="17" t="s">
        <v>316</v>
      </c>
      <c r="B63" s="613"/>
      <c r="C63" s="38">
        <v>0</v>
      </c>
      <c r="E63" s="31"/>
      <c r="F63" s="217"/>
      <c r="G63" s="31"/>
      <c r="H63" s="31"/>
      <c r="I63" s="31"/>
      <c r="J63" s="31"/>
      <c r="K63" s="31"/>
      <c r="L63" s="31"/>
      <c r="M63" s="31"/>
      <c r="N63" s="31"/>
      <c r="O63" s="31"/>
      <c r="P63" s="31"/>
      <c r="Q63" s="31"/>
    </row>
    <row r="64" spans="1:17" x14ac:dyDescent="0.2">
      <c r="A64" s="15" t="s">
        <v>315</v>
      </c>
      <c r="B64" s="613"/>
      <c r="C64" s="38">
        <v>0</v>
      </c>
      <c r="E64" s="31"/>
      <c r="F64" s="217"/>
      <c r="G64" s="31"/>
      <c r="H64" s="31"/>
      <c r="I64" s="31"/>
      <c r="J64" s="31"/>
      <c r="K64" s="31"/>
      <c r="L64" s="31"/>
      <c r="M64" s="31"/>
      <c r="N64" s="31"/>
      <c r="O64" s="31"/>
      <c r="P64" s="31"/>
      <c r="Q64" s="31"/>
    </row>
    <row r="65" spans="1:17" x14ac:dyDescent="0.2">
      <c r="A65" s="693" t="s">
        <v>308</v>
      </c>
      <c r="B65" s="694"/>
      <c r="C65" s="35">
        <v>0</v>
      </c>
      <c r="E65" s="31"/>
      <c r="F65" s="217"/>
      <c r="G65" s="31"/>
      <c r="H65" s="31"/>
      <c r="I65" s="31"/>
      <c r="J65" s="31"/>
      <c r="K65" s="31"/>
      <c r="L65" s="31"/>
      <c r="M65" s="31"/>
      <c r="N65" s="31"/>
      <c r="O65" s="31"/>
      <c r="P65" s="31"/>
      <c r="Q65" s="31"/>
    </row>
    <row r="66" spans="1:17" x14ac:dyDescent="0.2">
      <c r="A66" s="612" t="s">
        <v>306</v>
      </c>
      <c r="B66" s="613"/>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v>0</v>
      </c>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612" t="s">
        <v>164</v>
      </c>
      <c r="B70" s="613"/>
      <c r="C70" s="40" t="e">
        <f ca="1">(C67+C68)*C20+C61*(C20-C65)</f>
        <v>#N/A</v>
      </c>
      <c r="E70" s="31"/>
      <c r="F70" s="217"/>
      <c r="G70" s="31"/>
      <c r="H70" s="31"/>
      <c r="I70" s="31"/>
      <c r="J70" s="31"/>
      <c r="K70" s="31"/>
      <c r="L70" s="31"/>
      <c r="M70" s="31"/>
      <c r="N70" s="31"/>
      <c r="O70" s="31"/>
      <c r="P70" s="31"/>
      <c r="Q70" s="31"/>
    </row>
    <row r="71" spans="1:17" x14ac:dyDescent="0.2">
      <c r="A71" s="612" t="s">
        <v>165</v>
      </c>
      <c r="B71" s="613"/>
      <c r="C71" s="41" t="e">
        <f ca="1">(C67+C68)/C15</f>
        <v>#N/A</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v>0</v>
      </c>
      <c r="E73" s="46"/>
    </row>
    <row r="74" spans="1:17" x14ac:dyDescent="0.2">
      <c r="A74" s="695" t="s">
        <v>153</v>
      </c>
      <c r="B74" s="696"/>
      <c r="C74" s="38">
        <v>0</v>
      </c>
      <c r="E74" s="46"/>
    </row>
    <row r="75" spans="1:17" x14ac:dyDescent="0.2">
      <c r="A75" s="695" t="s">
        <v>154</v>
      </c>
      <c r="B75" s="696"/>
      <c r="C75" s="38">
        <v>0</v>
      </c>
      <c r="E75" s="46"/>
    </row>
    <row r="76" spans="1:17" x14ac:dyDescent="0.2">
      <c r="A76" s="689" t="s">
        <v>166</v>
      </c>
      <c r="B76" s="690"/>
      <c r="C76" s="35">
        <v>0</v>
      </c>
    </row>
    <row r="77" spans="1:17" x14ac:dyDescent="0.2">
      <c r="A77" s="689" t="s">
        <v>167</v>
      </c>
      <c r="B77" s="690"/>
      <c r="C77" s="36">
        <f>ROUND(IF(C73=0,0,C21-C73),0)</f>
        <v>0</v>
      </c>
      <c r="D77" s="46"/>
    </row>
    <row r="78" spans="1:17" x14ac:dyDescent="0.2">
      <c r="A78" s="689" t="s">
        <v>168</v>
      </c>
      <c r="B78" s="690"/>
      <c r="C78" s="47">
        <v>0</v>
      </c>
    </row>
    <row r="79" spans="1:17" x14ac:dyDescent="0.2">
      <c r="A79" s="689" t="s">
        <v>169</v>
      </c>
      <c r="B79" s="690"/>
      <c r="C79" s="39">
        <f>C73*C76</f>
        <v>0</v>
      </c>
    </row>
    <row r="80" spans="1:17" x14ac:dyDescent="0.2">
      <c r="A80" s="610" t="s">
        <v>170</v>
      </c>
      <c r="B80" s="611"/>
      <c r="C80" s="40" t="e">
        <f ca="1">(C77+C78)*C25+C73*(C25-C76)</f>
        <v>#N/A</v>
      </c>
    </row>
    <row r="81" spans="1:3" x14ac:dyDescent="0.2">
      <c r="A81" s="689" t="s">
        <v>171</v>
      </c>
      <c r="B81" s="690"/>
      <c r="C81" s="41" t="e">
        <f ca="1">(C77+C78)/C21</f>
        <v>#N/A</v>
      </c>
    </row>
    <row r="82" spans="1:3" x14ac:dyDescent="0.2">
      <c r="A82" s="42"/>
      <c r="B82" s="43"/>
      <c r="C82" s="44"/>
    </row>
    <row r="83" spans="1:3" x14ac:dyDescent="0.2">
      <c r="A83" s="689" t="s">
        <v>172</v>
      </c>
      <c r="B83" s="690"/>
      <c r="C83" s="48">
        <v>0</v>
      </c>
    </row>
    <row r="84" spans="1:3" ht="15" x14ac:dyDescent="0.3">
      <c r="A84" s="689" t="s">
        <v>173</v>
      </c>
      <c r="B84" s="690"/>
      <c r="C84" s="232" t="e">
        <f ca="1">B26-C83</f>
        <v>#N/A</v>
      </c>
    </row>
    <row r="85" spans="1:3" ht="13.5" thickBot="1" x14ac:dyDescent="0.25">
      <c r="A85" s="193" t="s">
        <v>174</v>
      </c>
      <c r="B85" s="194"/>
      <c r="C85" s="233" t="e">
        <f ca="1">IF(B26&gt;0,C84/B26,0)</f>
        <v>#N/A</v>
      </c>
    </row>
    <row r="86" spans="1:3" ht="13.5" thickBot="1" x14ac:dyDescent="0.25">
      <c r="C86" s="30"/>
    </row>
    <row r="87" spans="1:3" ht="13.5" thickBot="1" x14ac:dyDescent="0.25">
      <c r="A87" s="697" t="s">
        <v>175</v>
      </c>
      <c r="B87" s="698"/>
      <c r="C87" s="49" t="e">
        <f ca="1">C70+C80+C84</f>
        <v>#N/A</v>
      </c>
    </row>
    <row r="88" spans="1:3" ht="13.5" thickBot="1" x14ac:dyDescent="0.25">
      <c r="A88" s="699" t="s">
        <v>9</v>
      </c>
      <c r="B88" s="700"/>
      <c r="C88" s="50" t="e">
        <f ca="1">C107</f>
        <v>#N/A</v>
      </c>
    </row>
    <row r="90" spans="1:3" x14ac:dyDescent="0.2">
      <c r="A90" s="701" t="s">
        <v>8</v>
      </c>
      <c r="B90" s="701"/>
      <c r="C90" s="701"/>
    </row>
    <row r="91" spans="1:3" x14ac:dyDescent="0.2">
      <c r="A91" s="609" t="s">
        <v>7</v>
      </c>
      <c r="B91" s="609" t="s">
        <v>6</v>
      </c>
      <c r="C91" s="609" t="s">
        <v>5</v>
      </c>
    </row>
    <row r="92" spans="1:3" x14ac:dyDescent="0.2">
      <c r="A92" s="51">
        <v>1</v>
      </c>
      <c r="B92" s="52" t="e">
        <f ca="1">$C$87</f>
        <v>#N/A</v>
      </c>
      <c r="C92" s="53" t="e">
        <f t="shared" ref="C92:C106" ca="1" si="1">B92/(1+$B$109)^A92</f>
        <v>#N/A</v>
      </c>
    </row>
    <row r="93" spans="1:3" x14ac:dyDescent="0.2">
      <c r="A93" s="51">
        <v>2</v>
      </c>
      <c r="B93" s="52" t="e">
        <f t="shared" ref="B93:B106" ca="1" si="2">$C$87</f>
        <v>#N/A</v>
      </c>
      <c r="C93" s="53" t="e">
        <f t="shared" ca="1" si="1"/>
        <v>#N/A</v>
      </c>
    </row>
    <row r="94" spans="1:3" x14ac:dyDescent="0.2">
      <c r="A94" s="51">
        <v>3</v>
      </c>
      <c r="B94" s="52" t="e">
        <f t="shared" ca="1" si="2"/>
        <v>#N/A</v>
      </c>
      <c r="C94" s="53" t="e">
        <f t="shared" ca="1" si="1"/>
        <v>#N/A</v>
      </c>
    </row>
    <row r="95" spans="1:3" x14ac:dyDescent="0.2">
      <c r="A95" s="51">
        <v>4</v>
      </c>
      <c r="B95" s="52" t="e">
        <f t="shared" ca="1" si="2"/>
        <v>#N/A</v>
      </c>
      <c r="C95" s="53" t="e">
        <f t="shared" ca="1" si="1"/>
        <v>#N/A</v>
      </c>
    </row>
    <row r="96" spans="1:3" x14ac:dyDescent="0.2">
      <c r="A96" s="51">
        <v>5</v>
      </c>
      <c r="B96" s="52" t="e">
        <f t="shared" ca="1" si="2"/>
        <v>#N/A</v>
      </c>
      <c r="C96" s="53" t="e">
        <f t="shared" ca="1" si="1"/>
        <v>#N/A</v>
      </c>
    </row>
    <row r="97" spans="1:17" x14ac:dyDescent="0.2">
      <c r="A97" s="51">
        <v>6</v>
      </c>
      <c r="B97" s="52" t="e">
        <f t="shared" ca="1" si="2"/>
        <v>#N/A</v>
      </c>
      <c r="C97" s="53" t="e">
        <f t="shared" ca="1" si="1"/>
        <v>#N/A</v>
      </c>
    </row>
    <row r="98" spans="1:17" x14ac:dyDescent="0.2">
      <c r="A98" s="51">
        <v>7</v>
      </c>
      <c r="B98" s="52" t="e">
        <f t="shared" ca="1" si="2"/>
        <v>#N/A</v>
      </c>
      <c r="C98" s="53" t="e">
        <f t="shared" ca="1" si="1"/>
        <v>#N/A</v>
      </c>
    </row>
    <row r="99" spans="1:17" x14ac:dyDescent="0.2">
      <c r="A99" s="51">
        <v>8</v>
      </c>
      <c r="B99" s="52" t="e">
        <f t="shared" ca="1" si="2"/>
        <v>#N/A</v>
      </c>
      <c r="C99" s="53" t="e">
        <f t="shared" ca="1" si="1"/>
        <v>#N/A</v>
      </c>
    </row>
    <row r="100" spans="1:17" x14ac:dyDescent="0.2">
      <c r="A100" s="51">
        <v>9</v>
      </c>
      <c r="B100" s="52" t="e">
        <f t="shared" ca="1" si="2"/>
        <v>#N/A</v>
      </c>
      <c r="C100" s="53" t="e">
        <f t="shared" ca="1" si="1"/>
        <v>#N/A</v>
      </c>
    </row>
    <row r="101" spans="1:17" x14ac:dyDescent="0.2">
      <c r="A101" s="51">
        <v>10</v>
      </c>
      <c r="B101" s="52" t="e">
        <f t="shared" ca="1" si="2"/>
        <v>#N/A</v>
      </c>
      <c r="C101" s="53" t="e">
        <f t="shared" ca="1" si="1"/>
        <v>#N/A</v>
      </c>
    </row>
    <row r="102" spans="1:17" s="30" customFormat="1" x14ac:dyDescent="0.2">
      <c r="A102" s="51">
        <v>11</v>
      </c>
      <c r="B102" s="52" t="e">
        <f t="shared" ca="1" si="2"/>
        <v>#N/A</v>
      </c>
      <c r="C102" s="53" t="e">
        <f t="shared" ca="1" si="1"/>
        <v>#N/A</v>
      </c>
      <c r="D102" s="1"/>
      <c r="E102" s="1"/>
      <c r="G102" s="1"/>
      <c r="H102" s="1"/>
      <c r="I102" s="1"/>
      <c r="J102" s="1"/>
      <c r="K102" s="1"/>
      <c r="L102" s="1"/>
      <c r="M102" s="1"/>
      <c r="N102" s="1"/>
      <c r="O102" s="1"/>
      <c r="P102" s="1"/>
      <c r="Q102" s="1"/>
    </row>
    <row r="103" spans="1:17" s="30" customFormat="1" x14ac:dyDescent="0.2">
      <c r="A103" s="51">
        <v>12</v>
      </c>
      <c r="B103" s="52" t="e">
        <f t="shared" ca="1" si="2"/>
        <v>#N/A</v>
      </c>
      <c r="C103" s="53" t="e">
        <f t="shared" ca="1" si="1"/>
        <v>#N/A</v>
      </c>
      <c r="D103" s="1"/>
      <c r="E103" s="1"/>
      <c r="G103" s="1"/>
      <c r="H103" s="1"/>
      <c r="I103" s="1"/>
      <c r="J103" s="1"/>
      <c r="K103" s="1"/>
      <c r="L103" s="1"/>
      <c r="M103" s="1"/>
      <c r="N103" s="1"/>
      <c r="O103" s="1"/>
      <c r="P103" s="1"/>
      <c r="Q103" s="1"/>
    </row>
    <row r="104" spans="1:17" s="30" customFormat="1" x14ac:dyDescent="0.2">
      <c r="A104" s="51">
        <v>13</v>
      </c>
      <c r="B104" s="52" t="e">
        <f t="shared" ca="1" si="2"/>
        <v>#N/A</v>
      </c>
      <c r="C104" s="53" t="e">
        <f t="shared" ca="1" si="1"/>
        <v>#N/A</v>
      </c>
      <c r="D104" s="1"/>
      <c r="E104" s="1"/>
      <c r="G104" s="1"/>
      <c r="H104" s="1"/>
      <c r="I104" s="1"/>
      <c r="J104" s="1"/>
      <c r="K104" s="1"/>
      <c r="L104" s="1"/>
      <c r="M104" s="1"/>
      <c r="N104" s="1"/>
      <c r="O104" s="1"/>
      <c r="P104" s="1"/>
      <c r="Q104" s="1"/>
    </row>
    <row r="105" spans="1:17" s="30" customFormat="1" x14ac:dyDescent="0.2">
      <c r="A105" s="51">
        <v>14</v>
      </c>
      <c r="B105" s="52" t="e">
        <f t="shared" ca="1" si="2"/>
        <v>#N/A</v>
      </c>
      <c r="C105" s="53" t="e">
        <f t="shared" ca="1" si="1"/>
        <v>#N/A</v>
      </c>
      <c r="D105" s="1"/>
      <c r="E105" s="1"/>
      <c r="G105" s="1"/>
      <c r="H105" s="1"/>
      <c r="I105" s="1"/>
      <c r="J105" s="1"/>
      <c r="K105" s="1"/>
      <c r="L105" s="1"/>
      <c r="M105" s="1"/>
      <c r="N105" s="1"/>
      <c r="O105" s="1"/>
      <c r="P105" s="1"/>
      <c r="Q105" s="1"/>
    </row>
    <row r="106" spans="1:17" s="30" customFormat="1" x14ac:dyDescent="0.2">
      <c r="A106" s="51">
        <v>15</v>
      </c>
      <c r="B106" s="52" t="e">
        <f t="shared" ca="1" si="2"/>
        <v>#N/A</v>
      </c>
      <c r="C106" s="53" t="e">
        <f t="shared" ca="1" si="1"/>
        <v>#N/A</v>
      </c>
      <c r="D106" s="1"/>
      <c r="E106" s="1"/>
      <c r="G106" s="1"/>
      <c r="H106" s="1"/>
      <c r="I106" s="1"/>
      <c r="J106" s="1"/>
      <c r="K106" s="1"/>
      <c r="L106" s="1"/>
      <c r="M106" s="1"/>
      <c r="N106" s="1"/>
      <c r="O106" s="1"/>
      <c r="P106" s="1"/>
      <c r="Q106" s="1"/>
    </row>
    <row r="107" spans="1:17" s="30" customFormat="1" x14ac:dyDescent="0.2">
      <c r="A107" s="702" t="s">
        <v>4</v>
      </c>
      <c r="B107" s="702"/>
      <c r="C107" s="54" t="e">
        <f ca="1">SUM(C92:C106)</f>
        <v>#N/A</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v>0</v>
      </c>
      <c r="C114" s="59">
        <f t="shared" ref="C114:C119" si="3">B114*$C$61</f>
        <v>0</v>
      </c>
      <c r="D114" s="237">
        <v>0</v>
      </c>
      <c r="E114" s="235" t="s">
        <v>491</v>
      </c>
      <c r="G114" s="1"/>
      <c r="H114" s="1"/>
      <c r="I114" s="1"/>
      <c r="J114" s="1"/>
      <c r="K114" s="1"/>
      <c r="L114" s="1"/>
      <c r="M114" s="1"/>
      <c r="N114" s="1"/>
      <c r="O114" s="1"/>
      <c r="P114" s="1"/>
      <c r="Q114" s="1"/>
    </row>
    <row r="115" spans="1:17" s="30" customFormat="1" x14ac:dyDescent="0.2">
      <c r="A115" s="241" t="s">
        <v>318</v>
      </c>
      <c r="B115" s="234">
        <v>0</v>
      </c>
      <c r="C115" s="59">
        <f t="shared" si="3"/>
        <v>0</v>
      </c>
      <c r="D115" s="237">
        <v>0</v>
      </c>
      <c r="E115" s="235">
        <v>0</v>
      </c>
      <c r="G115" s="1"/>
      <c r="H115" s="1"/>
      <c r="I115" s="1"/>
      <c r="J115" s="1"/>
      <c r="K115" s="1"/>
      <c r="L115" s="1"/>
      <c r="M115" s="1"/>
      <c r="N115" s="1"/>
      <c r="O115" s="1"/>
      <c r="P115" s="1"/>
      <c r="Q115" s="1"/>
    </row>
    <row r="116" spans="1:17" s="30" customFormat="1" x14ac:dyDescent="0.2">
      <c r="A116" s="241" t="s">
        <v>319</v>
      </c>
      <c r="B116" s="234">
        <v>0</v>
      </c>
      <c r="C116" s="59">
        <f t="shared" si="3"/>
        <v>0</v>
      </c>
      <c r="D116" s="237">
        <v>0</v>
      </c>
      <c r="E116" s="235">
        <v>0</v>
      </c>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v>0</v>
      </c>
      <c r="C124" s="61">
        <v>3000</v>
      </c>
    </row>
    <row r="125" spans="1:17" x14ac:dyDescent="0.2">
      <c r="A125" s="58" t="s">
        <v>184</v>
      </c>
      <c r="B125" s="61">
        <v>0</v>
      </c>
      <c r="C125" s="61">
        <v>2500</v>
      </c>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44"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pageSetUpPr fitToPage="1"/>
  </sheetPr>
  <dimension ref="A2:E11"/>
  <sheetViews>
    <sheetView view="pageBreakPreview" zoomScale="60" zoomScaleNormal="100" workbookViewId="0">
      <selection activeCell="E70" sqref="E70"/>
    </sheetView>
  </sheetViews>
  <sheetFormatPr defaultColWidth="8.85546875" defaultRowHeight="15" x14ac:dyDescent="0.25"/>
  <cols>
    <col min="1" max="2" width="9.140625" style="64" customWidth="1"/>
    <col min="3" max="3" width="26" style="64" customWidth="1"/>
    <col min="4" max="4" width="36.5703125" style="64" customWidth="1"/>
    <col min="5" max="5" width="25" style="64" customWidth="1"/>
    <col min="6" max="16384" width="8.85546875" style="64"/>
  </cols>
  <sheetData>
    <row r="2" spans="1:5" ht="18.75" x14ac:dyDescent="0.3">
      <c r="A2" s="172" t="s">
        <v>70</v>
      </c>
    </row>
    <row r="3" spans="1:5" ht="18.75" x14ac:dyDescent="0.3">
      <c r="A3" s="172"/>
    </row>
    <row r="4" spans="1:5" x14ac:dyDescent="0.25">
      <c r="A4" s="97"/>
    </row>
    <row r="5" spans="1:5" x14ac:dyDescent="0.25">
      <c r="A5" s="66" t="s">
        <v>71</v>
      </c>
      <c r="B5" s="64" t="s">
        <v>26</v>
      </c>
      <c r="C5" s="64" t="s">
        <v>72</v>
      </c>
      <c r="D5" s="64" t="s">
        <v>66</v>
      </c>
      <c r="E5" s="64" t="s">
        <v>73</v>
      </c>
    </row>
    <row r="6" spans="1:5" x14ac:dyDescent="0.25">
      <c r="A6" s="66">
        <v>1</v>
      </c>
      <c r="B6" s="64" t="str">
        <f>'Referenčne količine'!B4</f>
        <v>OB001</v>
      </c>
      <c r="C6" s="64" t="str">
        <f>INDEX('Referenčne količine'!$C$4:$C$9,MATCH(Tabela7[[#This Row],[ID]],'Referenčne količine'!$B$4:$B$9,0))</f>
        <v>POŠ Rakitna</v>
      </c>
      <c r="D6" s="64" t="str">
        <f>INDEX('Referenčne količine'!$D$4:$D$9,MATCH(Tabela7[[#This Row],[ID]],'Referenčne količine'!$B$4:$B$9,0))</f>
        <v>Rakitna 54, 
1352 Preserje</v>
      </c>
      <c r="E6" s="64" t="str">
        <f>INDEX('Referenčne količine'!$E$4:$E$9,MATCH(Tabela7[[#This Row],[ID]],'Referenčne količine'!$B$4:$B$9,0))</f>
        <v>šola, vrtec</v>
      </c>
    </row>
    <row r="7" spans="1:5" x14ac:dyDescent="0.25">
      <c r="A7" s="66"/>
    </row>
    <row r="8" spans="1:5" x14ac:dyDescent="0.25">
      <c r="A8" s="66">
        <v>3</v>
      </c>
      <c r="B8" s="64" t="str">
        <f>'Referenčne količine'!B6</f>
        <v>OB003</v>
      </c>
      <c r="C8" s="64" t="str">
        <f>INDEX('Referenčne količine'!$C$4:$C$9,MATCH(Tabela7[[#This Row],[ID]],'Referenčne količine'!$B$4:$B$9,0))</f>
        <v>Vrtec Vnanje Gorice</v>
      </c>
      <c r="D8" s="64" t="str">
        <f>INDEX('Referenčne količine'!$D$4:$D$9,MATCH(Tabela7[[#This Row],[ID]],'Referenčne količine'!$B$4:$B$9,0))</f>
        <v>Nova pot 9
1351 Brezovica pri Ljubljani</v>
      </c>
      <c r="E8" s="64" t="str">
        <f>INDEX('Referenčne količine'!$E$4:$E$9,MATCH(Tabela7[[#This Row],[ID]],'Referenčne količine'!$B$4:$B$9,0))</f>
        <v>vrtec</v>
      </c>
    </row>
    <row r="9" spans="1:5" x14ac:dyDescent="0.25">
      <c r="A9" s="66">
        <v>4</v>
      </c>
      <c r="B9" s="64" t="str">
        <f>'Referenčne količine'!B7</f>
        <v>OB004</v>
      </c>
      <c r="C9" s="64" t="str">
        <f>INDEX('Referenčne količine'!$C$4:$C$9,MATCH(Tabela7[[#This Row],[ID]],'Referenčne količine'!$B$4:$B$9,0))</f>
        <v>Zdravstveni dom Podpeč</v>
      </c>
      <c r="D9" s="64" t="str">
        <f>INDEX('Referenčne količine'!$D$4:$D$9,MATCH(Tabela7[[#This Row],[ID]],'Referenčne količine'!$B$4:$B$9,0))</f>
        <v>Jezero 1, 
1352 Preserje</v>
      </c>
      <c r="E9" s="64" t="str">
        <f>INDEX('Referenčne količine'!$E$4:$E$9,MATCH(Tabela7[[#This Row],[ID]],'Referenčne količine'!$B$4:$B$9,0))</f>
        <v>zdravstveni dom</v>
      </c>
    </row>
    <row r="10" spans="1:5" x14ac:dyDescent="0.25">
      <c r="A10" s="66">
        <v>5</v>
      </c>
      <c r="B10" s="64" t="str">
        <f>'Referenčne količine'!B8</f>
        <v>OB005</v>
      </c>
      <c r="C10" s="64" t="str">
        <f>INDEX('Referenčne količine'!$C$4:$C$9,MATCH(Tabela7[[#This Row],[ID]],'Referenčne količine'!$B$4:$B$9,0))</f>
        <v>Zadružni dom Vnanje Gorice</v>
      </c>
      <c r="D10" s="64" t="str">
        <f>INDEX('Referenčne količine'!$D$4:$D$9,MATCH(Tabela7[[#This Row],[ID]],'Referenčne količine'!$B$4:$B$9,0))</f>
        <v>Nova pot 5
1351 Brezovica pri Ljubljani</v>
      </c>
      <c r="E10" s="64" t="str">
        <f>INDEX('Referenčne količine'!$E$4:$E$9,MATCH(Tabela7[[#This Row],[ID]],'Referenčne količine'!$B$4:$B$9,0))</f>
        <v xml:space="preserve">kulturni dom </v>
      </c>
    </row>
    <row r="11" spans="1:5" x14ac:dyDescent="0.25">
      <c r="A11" s="66"/>
    </row>
  </sheetData>
  <phoneticPr fontId="47" type="noConversion"/>
  <pageMargins left="0.7" right="0.7" top="0.75" bottom="0.75" header="0.3" footer="0.3"/>
  <pageSetup paperSize="9" scale="82"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1">
    <tabColor rgb="FFFF0000"/>
    <pageSetUpPr fitToPage="1"/>
  </sheetPr>
  <dimension ref="A1:P25"/>
  <sheetViews>
    <sheetView workbookViewId="0">
      <selection activeCell="I38" sqref="I38"/>
    </sheetView>
  </sheetViews>
  <sheetFormatPr defaultColWidth="9.140625" defaultRowHeight="12.75" x14ac:dyDescent="0.2"/>
  <cols>
    <col min="1" max="1" width="4.7109375" style="176" customWidth="1"/>
    <col min="2" max="2" width="11.140625" style="176" bestFit="1" customWidth="1"/>
    <col min="3" max="4" width="14.5703125" style="174" customWidth="1"/>
    <col min="5" max="5" width="16.85546875" style="174" customWidth="1"/>
    <col min="6" max="8" width="14.5703125" style="174" customWidth="1"/>
    <col min="9" max="9" width="29" style="174" customWidth="1"/>
    <col min="10" max="10" width="19" style="174" bestFit="1" customWidth="1"/>
    <col min="11" max="11" width="18.85546875" style="174" bestFit="1" customWidth="1"/>
    <col min="12" max="12" width="18.85546875" style="174" customWidth="1"/>
    <col min="13" max="13" width="11.42578125" style="175" bestFit="1" customWidth="1"/>
    <col min="14" max="14" width="9.140625" style="175"/>
    <col min="15" max="16" width="10.28515625" style="175" bestFit="1" customWidth="1"/>
    <col min="17" max="16384" width="9.140625" style="174"/>
  </cols>
  <sheetData>
    <row r="1" spans="1:16" ht="18.75" x14ac:dyDescent="0.3">
      <c r="A1" s="173" t="s">
        <v>53</v>
      </c>
      <c r="B1" s="173"/>
      <c r="C1" s="173"/>
      <c r="D1" s="173"/>
      <c r="E1" s="173"/>
      <c r="F1" s="173"/>
      <c r="G1" s="173"/>
      <c r="H1" s="173"/>
      <c r="I1" s="173"/>
      <c r="J1" s="173"/>
      <c r="K1" s="173"/>
    </row>
    <row r="2" spans="1:16" x14ac:dyDescent="0.2">
      <c r="M2" s="175" t="s">
        <v>24</v>
      </c>
      <c r="N2" s="175" t="s">
        <v>24</v>
      </c>
      <c r="O2" s="175" t="s">
        <v>24</v>
      </c>
      <c r="P2" s="175" t="s">
        <v>24</v>
      </c>
    </row>
    <row r="3" spans="1:16" ht="30" customHeight="1" x14ac:dyDescent="0.2">
      <c r="C3" s="704" t="s">
        <v>23</v>
      </c>
      <c r="D3" s="705"/>
      <c r="E3" s="706"/>
      <c r="F3" s="707" t="s">
        <v>22</v>
      </c>
      <c r="G3" s="707"/>
      <c r="H3" s="707"/>
      <c r="I3" s="177" t="s">
        <v>60</v>
      </c>
      <c r="J3" s="703" t="s">
        <v>61</v>
      </c>
      <c r="K3" s="703" t="s">
        <v>63</v>
      </c>
      <c r="L3" s="703" t="s">
        <v>321</v>
      </c>
      <c r="M3" s="175">
        <v>43</v>
      </c>
      <c r="N3" s="175">
        <v>46</v>
      </c>
      <c r="O3" s="175">
        <v>47</v>
      </c>
      <c r="P3" s="175">
        <v>48</v>
      </c>
    </row>
    <row r="4" spans="1:16" s="182" customFormat="1" ht="26.25" customHeight="1" x14ac:dyDescent="0.2">
      <c r="A4" s="178" t="s">
        <v>21</v>
      </c>
      <c r="B4" s="179" t="s">
        <v>20</v>
      </c>
      <c r="C4" s="180" t="s">
        <v>13</v>
      </c>
      <c r="D4" s="180" t="s">
        <v>19</v>
      </c>
      <c r="E4" s="180" t="s">
        <v>62</v>
      </c>
      <c r="F4" s="180" t="s">
        <v>13</v>
      </c>
      <c r="G4" s="180" t="s">
        <v>19</v>
      </c>
      <c r="H4" s="180" t="s">
        <v>62</v>
      </c>
      <c r="I4" s="180" t="s">
        <v>62</v>
      </c>
      <c r="J4" s="703"/>
      <c r="K4" s="703"/>
      <c r="L4" s="703"/>
      <c r="M4" s="181"/>
      <c r="N4" s="181"/>
      <c r="O4" s="181"/>
      <c r="P4" s="181"/>
    </row>
    <row r="5" spans="1:16" x14ac:dyDescent="0.2">
      <c r="A5" s="55">
        <v>1</v>
      </c>
      <c r="B5" s="183" t="s">
        <v>275</v>
      </c>
      <c r="C5" s="184">
        <f t="shared" ref="C5:C9" ca="1" si="0">INDIRECT($B5&amp;"!C67")+INDIRECT($B5&amp;"!C68")</f>
        <v>0</v>
      </c>
      <c r="D5" s="236" cm="1">
        <f t="array" aca="1" ref="D5" ca="1">INDIRECT($B5&amp;"!C71")</f>
        <v>0</v>
      </c>
      <c r="E5" s="185">
        <f ca="1">INDIRECT($B5&amp;"!C70")</f>
        <v>0</v>
      </c>
      <c r="F5" s="184" cm="1">
        <f t="array" aca="1" ref="F5" ca="1">INDIRECT($B5&amp;"!C77")+INDIRECT($B5&amp;"!C78")</f>
        <v>0</v>
      </c>
      <c r="G5" s="236" cm="1">
        <f t="array" aca="1" ref="G5" ca="1">INDIRECT($B5&amp;"!C81")</f>
        <v>0</v>
      </c>
      <c r="H5" s="185" cm="1">
        <f t="array" aca="1" ref="H5" ca="1">INDIRECT($B5&amp;"!C80")</f>
        <v>0</v>
      </c>
      <c r="I5" s="185">
        <f ca="1">INDIRECT($B5&amp;"!C84")</f>
        <v>3340</v>
      </c>
      <c r="J5" s="185">
        <f ca="1">E5+H5+I5</f>
        <v>3340</v>
      </c>
      <c r="K5" s="185">
        <f t="shared" ref="K5:K9" ca="1" si="1">INDIRECT($B5&amp;"!C88")</f>
        <v>37135.414023441517</v>
      </c>
      <c r="L5" s="185" cm="1">
        <f t="array" aca="1" ref="L5" ca="1">INDIRECT($B5&amp;"!b55")</f>
        <v>0</v>
      </c>
      <c r="M5" s="175" t="str">
        <f t="shared" ref="M5:M7" si="2">"'"&amp;B5&amp;"'"&amp;"!"&amp;M$2&amp;M$3</f>
        <v>'OB001'!C43</v>
      </c>
      <c r="N5" s="175" t="str">
        <f t="shared" ref="N5:P7" si="3">"'"&amp;$B5&amp;"'"&amp;"!"&amp;N$2&amp;N$3</f>
        <v>'OB001'!C46</v>
      </c>
      <c r="O5" s="175" t="str">
        <f t="shared" si="3"/>
        <v>'OB001'!C47</v>
      </c>
      <c r="P5" s="175" t="str">
        <f t="shared" si="3"/>
        <v>'OB001'!C48</v>
      </c>
    </row>
    <row r="6" spans="1:16" x14ac:dyDescent="0.2">
      <c r="A6" s="55">
        <f t="shared" ref="A6:A7" si="4">+A5+1</f>
        <v>2</v>
      </c>
      <c r="B6" s="183" t="s">
        <v>276</v>
      </c>
      <c r="C6" s="184"/>
      <c r="D6" s="236"/>
      <c r="E6" s="185"/>
      <c r="F6" s="184"/>
      <c r="G6" s="236"/>
      <c r="H6" s="185"/>
      <c r="I6" s="185"/>
      <c r="J6" s="185"/>
      <c r="K6" s="185"/>
      <c r="L6" s="185"/>
      <c r="M6" s="175" t="str">
        <f t="shared" si="2"/>
        <v>'OB002'!C43</v>
      </c>
      <c r="N6" s="175" t="str">
        <f t="shared" si="3"/>
        <v>'OB002'!C46</v>
      </c>
      <c r="O6" s="175" t="str">
        <f t="shared" si="3"/>
        <v>'OB002'!C47</v>
      </c>
      <c r="P6" s="175" t="str">
        <f t="shared" si="3"/>
        <v>'OB002'!C48</v>
      </c>
    </row>
    <row r="7" spans="1:16" x14ac:dyDescent="0.2">
      <c r="A7" s="55">
        <f t="shared" si="4"/>
        <v>3</v>
      </c>
      <c r="B7" s="183" t="s">
        <v>277</v>
      </c>
      <c r="C7" s="184">
        <f t="shared" ca="1" si="0"/>
        <v>0</v>
      </c>
      <c r="D7" s="236" cm="1">
        <f t="array" aca="1" ref="D7" ca="1">INDIRECT($B7&amp;"!C71")</f>
        <v>0</v>
      </c>
      <c r="E7" s="185">
        <f t="shared" ref="E7:E9" ca="1" si="5">INDIRECT($B7&amp;"!C70")</f>
        <v>0</v>
      </c>
      <c r="F7" s="184" cm="1">
        <f t="array" aca="1" ref="F7" ca="1">INDIRECT($B7&amp;"!C77")+INDIRECT($B7&amp;"!C78")</f>
        <v>0</v>
      </c>
      <c r="G7" s="236" cm="1">
        <f t="array" aca="1" ref="G7" ca="1">INDIRECT($B7&amp;"!C81")</f>
        <v>0</v>
      </c>
      <c r="H7" s="185" cm="1">
        <f t="array" aca="1" ref="H7" ca="1">INDIRECT($B7&amp;"!C80")</f>
        <v>0</v>
      </c>
      <c r="I7" s="185" cm="1">
        <f t="array" aca="1" ref="I7" ca="1">INDIRECT($B7&amp;"!C84")</f>
        <v>3983</v>
      </c>
      <c r="J7" s="185">
        <f t="shared" ref="J7:J9" ca="1" si="6">E7+H7+I7</f>
        <v>3983</v>
      </c>
      <c r="K7" s="185">
        <f t="shared" ca="1" si="1"/>
        <v>44284.537142325607</v>
      </c>
      <c r="L7" s="185" cm="1">
        <f t="array" aca="1" ref="L7" ca="1">INDIRECT($B7&amp;"!b55")</f>
        <v>0</v>
      </c>
      <c r="M7" s="175" t="str">
        <f t="shared" si="2"/>
        <v>'OB003'!C43</v>
      </c>
      <c r="N7" s="175" t="str">
        <f t="shared" si="3"/>
        <v>'OB003'!C46</v>
      </c>
      <c r="O7" s="175" t="str">
        <f t="shared" si="3"/>
        <v>'OB003'!C47</v>
      </c>
      <c r="P7" s="175" t="str">
        <f t="shared" si="3"/>
        <v>'OB003'!C48</v>
      </c>
    </row>
    <row r="8" spans="1:16" x14ac:dyDescent="0.2">
      <c r="A8" s="55">
        <v>4</v>
      </c>
      <c r="B8" s="183" t="s">
        <v>278</v>
      </c>
      <c r="C8" s="184">
        <f t="shared" ca="1" si="0"/>
        <v>0</v>
      </c>
      <c r="D8" s="236" cm="1">
        <f t="array" aca="1" ref="D8" ca="1">INDIRECT($B8&amp;"!C71")</f>
        <v>0</v>
      </c>
      <c r="E8" s="185">
        <f t="shared" ca="1" si="5"/>
        <v>0</v>
      </c>
      <c r="F8" s="184" cm="1">
        <f t="array" aca="1" ref="F8" ca="1">INDIRECT($B8&amp;"!C77")+INDIRECT($B8&amp;"!C78")</f>
        <v>0</v>
      </c>
      <c r="G8" s="236" cm="1">
        <f t="array" aca="1" ref="G8" ca="1">INDIRECT($B8&amp;"!C81")</f>
        <v>0</v>
      </c>
      <c r="H8" s="185" cm="1">
        <f t="array" aca="1" ref="H8" ca="1">INDIRECT($B8&amp;"!C80")</f>
        <v>0</v>
      </c>
      <c r="I8" s="185" cm="1">
        <f t="array" aca="1" ref="I8" ca="1">INDIRECT($B8&amp;"!C84")</f>
        <v>1920</v>
      </c>
      <c r="J8" s="185">
        <f t="shared" ca="1" si="6"/>
        <v>1920</v>
      </c>
      <c r="K8" s="185">
        <f t="shared" ca="1" si="1"/>
        <v>21347.303869762785</v>
      </c>
      <c r="L8" s="185" cm="1">
        <f t="array" aca="1" ref="L8" ca="1">INDIRECT($B8&amp;"!b55")</f>
        <v>0</v>
      </c>
    </row>
    <row r="9" spans="1:16" x14ac:dyDescent="0.2">
      <c r="A9" s="55">
        <v>5</v>
      </c>
      <c r="B9" s="183" t="s">
        <v>279</v>
      </c>
      <c r="C9" s="184">
        <f t="shared" ca="1" si="0"/>
        <v>0</v>
      </c>
      <c r="D9" s="236" cm="1">
        <f t="array" aca="1" ref="D9" ca="1">INDIRECT($B9&amp;"!C71")</f>
        <v>0</v>
      </c>
      <c r="E9" s="185">
        <f t="shared" ca="1" si="5"/>
        <v>0</v>
      </c>
      <c r="F9" s="184" cm="1">
        <f t="array" aca="1" ref="F9" ca="1">INDIRECT($B9&amp;"!C77")+INDIRECT($B9&amp;"!C78")</f>
        <v>0</v>
      </c>
      <c r="G9" s="236" cm="1">
        <f t="array" aca="1" ref="G9" ca="1">INDIRECT($B9&amp;"!C81")</f>
        <v>0</v>
      </c>
      <c r="H9" s="185" cm="1">
        <f t="array" aca="1" ref="H9" ca="1">INDIRECT($B9&amp;"!C80")</f>
        <v>0</v>
      </c>
      <c r="I9" s="185" cm="1">
        <f t="array" aca="1" ref="I9" ca="1">INDIRECT($B9&amp;"!C84")</f>
        <v>2207</v>
      </c>
      <c r="J9" s="185">
        <f t="shared" ca="1" si="6"/>
        <v>2207</v>
      </c>
      <c r="K9" s="185">
        <f t="shared" ca="1" si="1"/>
        <v>24538.281062795031</v>
      </c>
      <c r="L9" s="185" cm="1">
        <f t="array" aca="1" ref="L9" ca="1">INDIRECT($B9&amp;"!b55")</f>
        <v>0</v>
      </c>
    </row>
    <row r="10" spans="1:16" x14ac:dyDescent="0.2">
      <c r="A10" s="55">
        <v>6</v>
      </c>
      <c r="B10" s="183" t="s">
        <v>280</v>
      </c>
      <c r="C10" s="184"/>
      <c r="D10" s="236"/>
      <c r="E10" s="185"/>
      <c r="F10" s="184"/>
      <c r="G10" s="236"/>
      <c r="H10" s="185"/>
      <c r="I10" s="185"/>
      <c r="J10" s="185"/>
      <c r="K10" s="185"/>
      <c r="L10" s="185"/>
    </row>
    <row r="11" spans="1:16" x14ac:dyDescent="0.2">
      <c r="A11" s="702" t="s">
        <v>5</v>
      </c>
      <c r="B11" s="702"/>
      <c r="C11" s="186">
        <f ca="1">SUM(C5:C10)</f>
        <v>0</v>
      </c>
      <c r="D11" s="187">
        <f ca="1">AVERAGE(D5:D10)</f>
        <v>0</v>
      </c>
      <c r="E11" s="188">
        <f ca="1">SUM(E5:E10)</f>
        <v>0</v>
      </c>
      <c r="F11" s="186">
        <f ca="1">SUM(F5:F10)</f>
        <v>0</v>
      </c>
      <c r="G11" s="189">
        <f ca="1">AVERAGE(G5:G10)</f>
        <v>0</v>
      </c>
      <c r="H11" s="188">
        <f ca="1">SUM(H5:H10)</f>
        <v>0</v>
      </c>
      <c r="I11" s="188">
        <f ca="1">SUM(I5:I10)</f>
        <v>11450</v>
      </c>
      <c r="J11" s="188">
        <f ca="1">SUM(J5:J10)</f>
        <v>11450</v>
      </c>
      <c r="K11" s="188">
        <f ca="1">SUM(K5:K10)</f>
        <v>127305.53609832493</v>
      </c>
      <c r="L11" s="188">
        <f ca="1">SUM(L5:L10)</f>
        <v>0</v>
      </c>
    </row>
    <row r="12" spans="1:16" ht="14.25" customHeight="1" x14ac:dyDescent="0.2"/>
    <row r="14" spans="1:16" ht="15" x14ac:dyDescent="0.3">
      <c r="I14" s="616"/>
      <c r="J14" s="616"/>
      <c r="K14" s="616"/>
      <c r="L14" s="616"/>
    </row>
    <row r="15" spans="1:16" ht="15" x14ac:dyDescent="0.3">
      <c r="I15" s="616"/>
      <c r="J15" s="616"/>
      <c r="K15" s="616"/>
      <c r="L15" s="616"/>
    </row>
    <row r="16" spans="1:16" ht="15" hidden="1" x14ac:dyDescent="0.3">
      <c r="I16" s="615" t="s">
        <v>458</v>
      </c>
      <c r="J16" s="617"/>
      <c r="K16" s="616"/>
      <c r="L16" s="616"/>
    </row>
    <row r="17" spans="9:12" ht="15" hidden="1" x14ac:dyDescent="0.3">
      <c r="I17" s="618" t="s">
        <v>459</v>
      </c>
      <c r="J17" s="619">
        <f ca="1">E11</f>
        <v>0</v>
      </c>
      <c r="K17" s="616"/>
      <c r="L17" s="616"/>
    </row>
    <row r="18" spans="9:12" ht="30" hidden="1" x14ac:dyDescent="0.3">
      <c r="I18" s="618" t="s">
        <v>460</v>
      </c>
      <c r="J18" s="619">
        <f ca="1">H11</f>
        <v>0</v>
      </c>
      <c r="K18" s="616"/>
      <c r="L18" s="616"/>
    </row>
    <row r="19" spans="9:12" ht="30" hidden="1" x14ac:dyDescent="0.3">
      <c r="I19" s="618" t="s">
        <v>461</v>
      </c>
      <c r="J19" s="619">
        <f ca="1">I11</f>
        <v>11450</v>
      </c>
      <c r="K19" s="616"/>
      <c r="L19" s="616"/>
    </row>
    <row r="20" spans="9:12" ht="15" hidden="1" x14ac:dyDescent="0.3">
      <c r="I20" s="618" t="s">
        <v>462</v>
      </c>
      <c r="J20" s="619">
        <f ca="1">SUM(J17:J19)</f>
        <v>11450</v>
      </c>
      <c r="K20" s="616"/>
      <c r="L20" s="616"/>
    </row>
    <row r="21" spans="9:12" ht="15" hidden="1" x14ac:dyDescent="0.3">
      <c r="I21" s="615"/>
      <c r="J21" s="616"/>
      <c r="K21" s="616"/>
      <c r="L21" s="616"/>
    </row>
    <row r="22" spans="9:12" ht="38.25" hidden="1" x14ac:dyDescent="0.3">
      <c r="I22" s="615" t="s">
        <v>463</v>
      </c>
      <c r="J22" s="620" t="s">
        <v>464</v>
      </c>
      <c r="K22" s="620" t="s">
        <v>465</v>
      </c>
      <c r="L22" s="616"/>
    </row>
    <row r="23" spans="9:12" ht="15" hidden="1" x14ac:dyDescent="0.3">
      <c r="I23" s="618" t="s">
        <v>466</v>
      </c>
      <c r="J23" s="619">
        <f ca="1">SUM(J24:J25)</f>
        <v>11450</v>
      </c>
      <c r="K23" s="621">
        <v>1</v>
      </c>
      <c r="L23" s="616"/>
    </row>
    <row r="24" spans="9:12" ht="15" hidden="1" x14ac:dyDescent="0.3">
      <c r="I24" s="618" t="s">
        <v>467</v>
      </c>
      <c r="J24" s="619">
        <f ca="1">J20*0.99</f>
        <v>11335.5</v>
      </c>
      <c r="K24" s="621">
        <v>0.99</v>
      </c>
      <c r="L24" s="616"/>
    </row>
    <row r="25" spans="9:12" ht="15" hidden="1" x14ac:dyDescent="0.3">
      <c r="I25" s="618" t="s">
        <v>468</v>
      </c>
      <c r="J25" s="619">
        <f ca="1">J20*0.01</f>
        <v>114.5</v>
      </c>
      <c r="K25" s="621">
        <v>0.01</v>
      </c>
      <c r="L25" s="616"/>
    </row>
  </sheetData>
  <mergeCells count="6">
    <mergeCell ref="L3:L4"/>
    <mergeCell ref="A11:B11"/>
    <mergeCell ref="C3:E3"/>
    <mergeCell ref="F3:H3"/>
    <mergeCell ref="J3:J4"/>
    <mergeCell ref="K3:K4"/>
  </mergeCells>
  <phoneticPr fontId="47" type="noConversion"/>
  <pageMargins left="0.45" right="0.7" top="0.75" bottom="0.75" header="0.3" footer="0.3"/>
  <pageSetup paperSize="9" scale="57" orientation="landscape"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3E2A6-3275-4980-AC86-ED6E44D37073}">
  <sheetPr codeName="List12">
    <tabColor theme="4"/>
    <pageSetUpPr fitToPage="1"/>
  </sheetPr>
  <dimension ref="A1:X118"/>
  <sheetViews>
    <sheetView tabSelected="1" zoomScale="55" zoomScaleNormal="55" workbookViewId="0">
      <selection activeCell="M123" sqref="M123"/>
    </sheetView>
  </sheetViews>
  <sheetFormatPr defaultColWidth="9" defaultRowHeight="14.25" customHeight="1" x14ac:dyDescent="0.25"/>
  <cols>
    <col min="1" max="1" width="5.140625" style="252" customWidth="1"/>
    <col min="2" max="2" width="17.28515625" style="252" customWidth="1"/>
    <col min="3" max="3" width="25.85546875" style="252" customWidth="1"/>
    <col min="4" max="4" width="20.28515625" style="252" customWidth="1"/>
    <col min="5" max="6" width="17.85546875" style="252" customWidth="1"/>
    <col min="7" max="7" width="26.7109375" style="252" customWidth="1"/>
    <col min="8" max="9" width="17.85546875" style="252" customWidth="1"/>
    <col min="10" max="10" width="18.85546875" style="252" customWidth="1"/>
    <col min="11" max="11" width="17.85546875" style="252" customWidth="1"/>
    <col min="12" max="12" width="21.7109375" style="252" customWidth="1"/>
    <col min="13" max="22" width="17.85546875" style="252" customWidth="1"/>
    <col min="23" max="16384" width="9" style="252"/>
  </cols>
  <sheetData>
    <row r="1" spans="1:24" ht="45.75" thickBot="1" x14ac:dyDescent="0.3">
      <c r="A1" s="247" t="s">
        <v>322</v>
      </c>
      <c r="B1" s="248"/>
      <c r="C1" s="248"/>
      <c r="D1" s="248"/>
      <c r="E1" s="248"/>
      <c r="F1" s="248"/>
      <c r="G1" s="248"/>
      <c r="H1" s="248"/>
      <c r="I1" s="248"/>
      <c r="J1" s="249"/>
      <c r="K1" s="249"/>
      <c r="L1" s="249"/>
      <c r="M1" s="249"/>
      <c r="N1" s="249"/>
      <c r="O1" s="249"/>
      <c r="P1" s="249"/>
      <c r="Q1" s="249"/>
      <c r="R1" s="249"/>
      <c r="S1" s="249"/>
      <c r="T1" s="249"/>
      <c r="U1" s="249"/>
      <c r="V1" s="249"/>
      <c r="W1" s="250" t="s">
        <v>323</v>
      </c>
      <c r="X1" s="251"/>
    </row>
    <row r="2" spans="1:24" ht="16.5" thickBot="1" x14ac:dyDescent="0.3">
      <c r="A2" s="253"/>
      <c r="B2" s="248"/>
      <c r="C2" s="248"/>
      <c r="D2" s="248"/>
      <c r="E2" s="248"/>
      <c r="F2" s="248"/>
      <c r="G2" s="248"/>
      <c r="H2" s="248"/>
      <c r="I2" s="248"/>
      <c r="J2" s="249"/>
      <c r="K2" s="249"/>
      <c r="L2" s="249"/>
      <c r="M2" s="249"/>
      <c r="N2" s="249"/>
      <c r="O2" s="249"/>
      <c r="P2" s="249"/>
      <c r="Q2" s="249"/>
      <c r="R2" s="249"/>
      <c r="S2" s="249"/>
      <c r="T2" s="249"/>
      <c r="U2" s="249"/>
      <c r="V2" s="249"/>
      <c r="W2" s="250" t="s">
        <v>17</v>
      </c>
      <c r="X2" s="251"/>
    </row>
    <row r="3" spans="1:24" ht="20.25" x14ac:dyDescent="0.25">
      <c r="A3" s="253"/>
      <c r="B3" s="254" t="s">
        <v>324</v>
      </c>
      <c r="C3" s="255"/>
      <c r="D3" s="256"/>
      <c r="E3" s="257"/>
      <c r="F3" s="257"/>
      <c r="G3" s="258" t="s">
        <v>323</v>
      </c>
      <c r="H3" s="259"/>
      <c r="I3" s="257"/>
      <c r="J3" s="708" t="s">
        <v>325</v>
      </c>
      <c r="K3" s="709"/>
      <c r="L3" s="710"/>
      <c r="M3" s="711"/>
      <c r="N3" s="257"/>
      <c r="O3" s="257"/>
      <c r="P3" s="260" t="s">
        <v>326</v>
      </c>
      <c r="Q3" s="715"/>
      <c r="R3" s="716"/>
      <c r="S3" s="716"/>
      <c r="T3" s="717"/>
      <c r="U3" s="257"/>
      <c r="V3" s="257"/>
    </row>
    <row r="4" spans="1:24" ht="27" customHeight="1" x14ac:dyDescent="0.25">
      <c r="A4" s="253"/>
      <c r="B4" s="258" t="s">
        <v>327</v>
      </c>
      <c r="C4" s="721"/>
      <c r="D4" s="722"/>
      <c r="E4" s="722"/>
      <c r="F4" s="722"/>
      <c r="G4" s="722"/>
      <c r="H4" s="723"/>
      <c r="I4" s="257"/>
      <c r="J4" s="708"/>
      <c r="K4" s="712"/>
      <c r="L4" s="713"/>
      <c r="M4" s="714"/>
      <c r="N4" s="257"/>
      <c r="O4" s="257"/>
      <c r="P4" s="260"/>
      <c r="Q4" s="718"/>
      <c r="R4" s="719"/>
      <c r="S4" s="719"/>
      <c r="T4" s="720"/>
      <c r="U4" s="257"/>
      <c r="V4" s="257"/>
    </row>
    <row r="5" spans="1:24" ht="24.75" customHeight="1" x14ac:dyDescent="0.25">
      <c r="A5" s="253"/>
      <c r="B5" s="261"/>
      <c r="C5" s="724"/>
      <c r="D5" s="725"/>
      <c r="E5" s="725"/>
      <c r="F5" s="725"/>
      <c r="G5" s="725"/>
      <c r="H5" s="726"/>
      <c r="I5" s="257"/>
      <c r="J5" s="708" t="s">
        <v>328</v>
      </c>
      <c r="K5" s="727"/>
      <c r="L5" s="728"/>
      <c r="M5" s="729"/>
      <c r="N5" s="257"/>
      <c r="O5" s="257"/>
      <c r="P5" s="260" t="s">
        <v>329</v>
      </c>
      <c r="Q5" s="733"/>
      <c r="R5" s="733"/>
      <c r="S5" s="733"/>
      <c r="T5" s="733"/>
      <c r="U5" s="257"/>
      <c r="V5" s="257"/>
    </row>
    <row r="6" spans="1:24" ht="20.25" x14ac:dyDescent="0.25">
      <c r="A6" s="262"/>
      <c r="B6" s="254" t="s">
        <v>330</v>
      </c>
      <c r="C6" s="734"/>
      <c r="D6" s="735"/>
      <c r="E6" s="735"/>
      <c r="F6" s="735"/>
      <c r="G6" s="735"/>
      <c r="H6" s="736"/>
      <c r="I6" s="263"/>
      <c r="J6" s="708"/>
      <c r="K6" s="730"/>
      <c r="L6" s="731"/>
      <c r="M6" s="732"/>
      <c r="N6" s="263"/>
      <c r="O6" s="263"/>
      <c r="P6" s="260"/>
      <c r="Q6" s="733"/>
      <c r="R6" s="733"/>
      <c r="S6" s="733"/>
      <c r="T6" s="733"/>
      <c r="U6" s="264"/>
      <c r="V6" s="264"/>
    </row>
    <row r="7" spans="1:24" ht="18.75" x14ac:dyDescent="0.25">
      <c r="A7" s="265"/>
      <c r="B7" s="266"/>
      <c r="C7" s="250"/>
      <c r="D7" s="250"/>
      <c r="E7" s="250"/>
      <c r="F7" s="250"/>
      <c r="G7" s="250"/>
      <c r="H7" s="250"/>
      <c r="I7" s="267"/>
      <c r="J7" s="250"/>
      <c r="K7" s="250"/>
      <c r="L7" s="250"/>
      <c r="M7" s="250"/>
      <c r="N7" s="268"/>
      <c r="O7" s="250"/>
      <c r="P7" s="260"/>
      <c r="Q7" s="263"/>
      <c r="R7" s="263"/>
      <c r="S7" s="263"/>
      <c r="T7" s="263"/>
      <c r="U7" s="263"/>
      <c r="V7" s="263"/>
    </row>
    <row r="8" spans="1:24" ht="18" customHeight="1" x14ac:dyDescent="0.25">
      <c r="A8" s="265"/>
      <c r="B8" s="266"/>
      <c r="C8" s="250"/>
      <c r="D8" s="250"/>
      <c r="E8" s="250"/>
      <c r="F8" s="250"/>
      <c r="G8" s="250"/>
      <c r="H8" s="250"/>
      <c r="I8" s="267" t="s">
        <v>331</v>
      </c>
      <c r="N8" s="268"/>
      <c r="O8" s="250"/>
      <c r="P8" s="260" t="s">
        <v>332</v>
      </c>
      <c r="Q8" s="741"/>
      <c r="R8" s="742"/>
      <c r="S8" s="742"/>
      <c r="T8" s="742"/>
      <c r="U8" s="743"/>
      <c r="V8" s="263"/>
    </row>
    <row r="9" spans="1:24" ht="30.75" thickBot="1" x14ac:dyDescent="0.3">
      <c r="A9" s="263"/>
      <c r="B9" s="269" t="s">
        <v>333</v>
      </c>
      <c r="C9" s="250"/>
      <c r="D9" s="250"/>
      <c r="E9" s="250"/>
      <c r="F9" s="250"/>
      <c r="G9" s="250"/>
      <c r="H9" s="250"/>
      <c r="I9" s="267"/>
      <c r="J9" s="250"/>
      <c r="K9" s="250"/>
      <c r="L9" s="250"/>
      <c r="N9" s="268"/>
      <c r="O9" s="250"/>
      <c r="P9" s="260"/>
      <c r="Q9" s="744"/>
      <c r="R9" s="745"/>
      <c r="S9" s="745"/>
      <c r="T9" s="745"/>
      <c r="U9" s="746"/>
      <c r="V9" s="263"/>
    </row>
    <row r="10" spans="1:24" ht="45.75" customHeight="1" x14ac:dyDescent="0.25">
      <c r="A10" s="265"/>
      <c r="B10" s="750"/>
      <c r="C10" s="753" t="s">
        <v>334</v>
      </c>
      <c r="D10" s="754"/>
      <c r="E10" s="755"/>
      <c r="F10" s="756" t="s">
        <v>335</v>
      </c>
      <c r="G10" s="754"/>
      <c r="H10" s="757"/>
      <c r="I10" s="753" t="s">
        <v>336</v>
      </c>
      <c r="J10" s="754"/>
      <c r="K10" s="755"/>
      <c r="L10" s="756" t="s">
        <v>337</v>
      </c>
      <c r="M10" s="754"/>
      <c r="N10" s="755"/>
      <c r="O10" s="250"/>
      <c r="P10" s="270"/>
      <c r="Q10" s="747"/>
      <c r="R10" s="748"/>
      <c r="S10" s="748"/>
      <c r="T10" s="748"/>
      <c r="U10" s="749"/>
      <c r="V10" s="263"/>
    </row>
    <row r="11" spans="1:24" ht="18.75" x14ac:dyDescent="0.25">
      <c r="A11" s="265"/>
      <c r="B11" s="751"/>
      <c r="C11" s="758" t="s">
        <v>338</v>
      </c>
      <c r="D11" s="759"/>
      <c r="E11" s="760"/>
      <c r="F11" s="758" t="s">
        <v>338</v>
      </c>
      <c r="G11" s="759"/>
      <c r="H11" s="760"/>
      <c r="I11" s="758" t="s">
        <v>339</v>
      </c>
      <c r="J11" s="759"/>
      <c r="K11" s="760"/>
      <c r="L11" s="758" t="s">
        <v>340</v>
      </c>
      <c r="M11" s="759"/>
      <c r="N11" s="760"/>
      <c r="O11" s="250"/>
      <c r="P11" s="270"/>
      <c r="R11" s="263"/>
      <c r="S11" s="263"/>
      <c r="T11" s="263"/>
      <c r="U11" s="263"/>
      <c r="V11" s="263"/>
    </row>
    <row r="12" spans="1:24" ht="30.75" customHeight="1" thickBot="1" x14ac:dyDescent="0.3">
      <c r="A12" s="265"/>
      <c r="B12" s="752"/>
      <c r="C12" s="271" t="s">
        <v>13</v>
      </c>
      <c r="D12" s="272" t="s">
        <v>11</v>
      </c>
      <c r="E12" s="273" t="s">
        <v>19</v>
      </c>
      <c r="F12" s="274" t="s">
        <v>13</v>
      </c>
      <c r="G12" s="272" t="s">
        <v>11</v>
      </c>
      <c r="H12" s="275" t="s">
        <v>19</v>
      </c>
      <c r="I12" s="271" t="s">
        <v>13</v>
      </c>
      <c r="J12" s="272" t="s">
        <v>11</v>
      </c>
      <c r="K12" s="273" t="s">
        <v>19</v>
      </c>
      <c r="L12" s="274" t="s">
        <v>13</v>
      </c>
      <c r="M12" s="272" t="s">
        <v>11</v>
      </c>
      <c r="N12" s="276" t="s">
        <v>341</v>
      </c>
      <c r="O12" s="250"/>
      <c r="P12" s="270"/>
      <c r="R12" s="263"/>
      <c r="S12" s="263"/>
      <c r="T12" s="263"/>
      <c r="U12" s="263"/>
      <c r="V12" s="263"/>
    </row>
    <row r="13" spans="1:24" ht="45.75" customHeight="1" x14ac:dyDescent="0.25">
      <c r="A13" s="265"/>
      <c r="B13" s="277" t="s">
        <v>27</v>
      </c>
      <c r="C13" s="278" t="e">
        <f>SUM(M42:O42)</f>
        <v>#DIV/0!</v>
      </c>
      <c r="D13" s="279" t="e">
        <f>S42</f>
        <v>#DIV/0!</v>
      </c>
      <c r="E13" s="280" t="e">
        <f>D13/I33</f>
        <v>#DIV/0!</v>
      </c>
      <c r="F13" s="281" t="e">
        <f>SUM(M62:O62)</f>
        <v>#DIV/0!</v>
      </c>
      <c r="G13" s="279" t="e">
        <f>S62</f>
        <v>#DIV/0!</v>
      </c>
      <c r="H13" s="282" t="e">
        <f>S62/I53</f>
        <v>#DIV/0!</v>
      </c>
      <c r="I13" s="283" t="e">
        <f>SUM(G81:I81)</f>
        <v>#DIV/0!</v>
      </c>
      <c r="J13" s="279" t="e">
        <f>M81</f>
        <v>#DIV/0!</v>
      </c>
      <c r="K13" s="280" t="e">
        <f>M81/I53</f>
        <v>#DIV/0!</v>
      </c>
      <c r="L13" s="284" t="e">
        <f>I13-F13</f>
        <v>#DIV/0!</v>
      </c>
      <c r="M13" s="285" t="e">
        <f>ROUND(J13-G13,2)</f>
        <v>#DIV/0!</v>
      </c>
      <c r="N13" s="286" t="e">
        <f>IF(M13&gt;0,"BONUS",IF(M13&lt;0,"MALUS","-"))</f>
        <v>#DIV/0!</v>
      </c>
      <c r="O13" s="260"/>
      <c r="P13" s="270"/>
      <c r="R13" s="263"/>
      <c r="S13" s="263"/>
      <c r="T13" s="263"/>
      <c r="U13" s="263"/>
      <c r="V13" s="263"/>
    </row>
    <row r="14" spans="1:24" ht="45.75" customHeight="1" x14ac:dyDescent="0.25">
      <c r="A14" s="265"/>
      <c r="B14" s="287" t="s">
        <v>342</v>
      </c>
      <c r="C14" s="288">
        <f>SUM(K92:M92)</f>
        <v>0</v>
      </c>
      <c r="D14" s="289">
        <f>Q92</f>
        <v>0</v>
      </c>
      <c r="E14" s="290" t="e">
        <f>Q92/G92</f>
        <v>#DIV/0!</v>
      </c>
      <c r="F14" s="291">
        <f>SUM(K100:M100)</f>
        <v>0</v>
      </c>
      <c r="G14" s="289">
        <f>Q100</f>
        <v>0</v>
      </c>
      <c r="H14" s="292" t="e">
        <f>Q100/G100</f>
        <v>#DIV/0!</v>
      </c>
      <c r="I14" s="293">
        <f>SUM(N108:P108)</f>
        <v>0</v>
      </c>
      <c r="J14" s="289">
        <f>T108</f>
        <v>0</v>
      </c>
      <c r="K14" s="290" t="e">
        <f>T108/G100</f>
        <v>#DIV/0!</v>
      </c>
      <c r="L14" s="284">
        <f>I14-F14</f>
        <v>0</v>
      </c>
      <c r="M14" s="285">
        <f>ROUND(J14-G14,2)</f>
        <v>0</v>
      </c>
      <c r="N14" s="286" t="str">
        <f>IF(M14&gt;0,"BONUS",IF(M14&lt;0,"MALUS","-"))</f>
        <v>-</v>
      </c>
      <c r="O14" s="260"/>
      <c r="P14" s="270"/>
      <c r="R14" s="263"/>
      <c r="S14" s="263"/>
      <c r="T14" s="263"/>
      <c r="U14" s="263"/>
      <c r="V14" s="263"/>
    </row>
    <row r="15" spans="1:24" ht="45.75" customHeight="1" thickBot="1" x14ac:dyDescent="0.3">
      <c r="A15" s="265"/>
      <c r="B15" s="294" t="s">
        <v>343</v>
      </c>
      <c r="C15" s="295">
        <v>0</v>
      </c>
      <c r="D15" s="296">
        <f>E118</f>
        <v>0</v>
      </c>
      <c r="E15" s="297" t="e">
        <f>E118/C118</f>
        <v>#DIV/0!</v>
      </c>
      <c r="F15" s="298">
        <v>0</v>
      </c>
      <c r="G15" s="296">
        <f>L118</f>
        <v>0</v>
      </c>
      <c r="H15" s="299" t="e">
        <f>L118/J117</f>
        <v>#DIV/0!</v>
      </c>
      <c r="I15" s="300">
        <v>0</v>
      </c>
      <c r="J15" s="296">
        <f>R118</f>
        <v>0</v>
      </c>
      <c r="K15" s="297" t="e">
        <f>R118/P117</f>
        <v>#DIV/0!</v>
      </c>
      <c r="L15" s="284">
        <f>I15-F15</f>
        <v>0</v>
      </c>
      <c r="M15" s="285">
        <f>ROUND(J15-G15,2)</f>
        <v>0</v>
      </c>
      <c r="N15" s="286" t="str">
        <f>IF(M15&gt;0,"BONUS",IF(M15&lt;0,"MALUS","-"))</f>
        <v>-</v>
      </c>
      <c r="O15" s="260"/>
      <c r="P15" s="270"/>
      <c r="R15" s="263"/>
      <c r="S15" s="263"/>
      <c r="T15" s="263"/>
      <c r="U15" s="263"/>
      <c r="V15" s="263"/>
    </row>
    <row r="16" spans="1:24" ht="45.75" customHeight="1" thickBot="1" x14ac:dyDescent="0.3">
      <c r="A16" s="265"/>
      <c r="B16" s="301" t="s">
        <v>5</v>
      </c>
      <c r="C16" s="302" t="e">
        <f>SUM(C13:C15)</f>
        <v>#DIV/0!</v>
      </c>
      <c r="D16" s="303" t="e">
        <f>SUM(D13:D15)</f>
        <v>#DIV/0!</v>
      </c>
      <c r="E16" s="304" t="e">
        <f>AVERAGE(E13:E15)</f>
        <v>#DIV/0!</v>
      </c>
      <c r="F16" s="305" t="e">
        <f>SUM(F13:F15)</f>
        <v>#DIV/0!</v>
      </c>
      <c r="G16" s="303" t="e">
        <f>SUM(G13:G15)</f>
        <v>#DIV/0!</v>
      </c>
      <c r="H16" s="306" t="e">
        <f>AVERAGE(H13:H15)</f>
        <v>#DIV/0!</v>
      </c>
      <c r="I16" s="307" t="e">
        <f>SUM(I13:I15)</f>
        <v>#DIV/0!</v>
      </c>
      <c r="J16" s="303" t="e">
        <f>SUM(J13:J15)</f>
        <v>#DIV/0!</v>
      </c>
      <c r="K16" s="304" t="e">
        <f>AVERAGE(K13:K15)</f>
        <v>#DIV/0!</v>
      </c>
      <c r="L16" s="308" t="e">
        <f>SUM(L13:L15)</f>
        <v>#DIV/0!</v>
      </c>
      <c r="M16" s="309" t="e">
        <f>SUM(M13:M15)</f>
        <v>#DIV/0!</v>
      </c>
      <c r="N16" s="310" t="e">
        <f>IF(M13&gt;0,"BONUS",IF(M13&lt;0,"MALUS","-"))</f>
        <v>#DIV/0!</v>
      </c>
      <c r="O16" s="260"/>
      <c r="P16" s="263"/>
      <c r="Q16" s="263"/>
      <c r="R16" s="263"/>
      <c r="S16" s="263"/>
      <c r="T16" s="263"/>
      <c r="U16" s="263"/>
      <c r="V16" s="263"/>
    </row>
    <row r="17" spans="1:22" ht="18.75" x14ac:dyDescent="0.25">
      <c r="A17" s="265"/>
      <c r="B17" s="266"/>
      <c r="C17" s="250"/>
      <c r="D17" s="250"/>
      <c r="E17" s="250"/>
      <c r="F17" s="250"/>
      <c r="G17" s="250"/>
      <c r="H17" s="250"/>
      <c r="I17" s="267"/>
      <c r="J17" s="250"/>
      <c r="K17" s="250"/>
      <c r="L17" s="250"/>
      <c r="M17" s="250"/>
      <c r="N17" s="268"/>
      <c r="O17" s="250"/>
      <c r="P17" s="263"/>
      <c r="Q17" s="263"/>
      <c r="R17" s="263"/>
      <c r="S17" s="263"/>
      <c r="T17" s="263"/>
      <c r="U17" s="263"/>
      <c r="V17" s="263"/>
    </row>
    <row r="18" spans="1:22" ht="19.5" thickBot="1" x14ac:dyDescent="0.3">
      <c r="A18" s="265"/>
      <c r="B18" s="266"/>
      <c r="C18" s="250"/>
      <c r="D18" s="250"/>
      <c r="E18" s="250"/>
      <c r="F18" s="250"/>
      <c r="G18" s="250"/>
      <c r="H18" s="250"/>
      <c r="I18" s="267"/>
      <c r="J18" s="268"/>
      <c r="K18" s="268"/>
      <c r="L18" s="268"/>
      <c r="M18" s="268"/>
      <c r="N18" s="268"/>
      <c r="O18" s="250"/>
      <c r="P18" s="250"/>
      <c r="Q18" s="250"/>
      <c r="R18" s="250"/>
      <c r="S18" s="250"/>
      <c r="T18" s="263"/>
      <c r="U18" s="263"/>
      <c r="V18" s="263"/>
    </row>
    <row r="19" spans="1:22" ht="30.75" thickBot="1" x14ac:dyDescent="0.3">
      <c r="A19" s="311" t="s">
        <v>344</v>
      </c>
      <c r="B19" s="312"/>
      <c r="C19" s="312"/>
      <c r="D19" s="312"/>
      <c r="E19" s="312"/>
      <c r="F19" s="312"/>
      <c r="G19" s="312"/>
      <c r="H19" s="312"/>
      <c r="I19" s="312"/>
      <c r="J19" s="312"/>
      <c r="K19" s="312"/>
      <c r="L19" s="312"/>
      <c r="M19" s="312"/>
      <c r="N19" s="312"/>
      <c r="O19" s="312"/>
      <c r="P19" s="312"/>
      <c r="Q19" s="312"/>
      <c r="R19" s="312"/>
      <c r="S19" s="312"/>
      <c r="T19" s="312"/>
      <c r="U19" s="312"/>
      <c r="V19" s="313"/>
    </row>
    <row r="20" spans="1:22" ht="18.75" x14ac:dyDescent="0.25">
      <c r="A20" s="265"/>
      <c r="B20" s="266"/>
      <c r="C20" s="250"/>
      <c r="D20" s="250"/>
      <c r="E20" s="250"/>
      <c r="F20" s="250"/>
      <c r="G20" s="250"/>
      <c r="H20" s="250"/>
      <c r="I20" s="267"/>
      <c r="J20" s="268"/>
      <c r="K20" s="268"/>
      <c r="L20" s="268"/>
      <c r="M20" s="268"/>
      <c r="N20" s="268"/>
      <c r="O20" s="250"/>
      <c r="P20" s="250"/>
      <c r="Q20" s="250"/>
      <c r="R20" s="250"/>
      <c r="S20" s="250"/>
      <c r="T20" s="263"/>
      <c r="U20" s="263"/>
      <c r="V20" s="263"/>
    </row>
    <row r="21" spans="1:22" ht="18.75" x14ac:dyDescent="0.25">
      <c r="A21" s="265"/>
      <c r="B21" s="249"/>
      <c r="C21" s="258" t="s">
        <v>345</v>
      </c>
      <c r="D21" s="737"/>
      <c r="E21" s="738"/>
      <c r="F21" s="256"/>
      <c r="G21" s="249"/>
      <c r="H21" s="258" t="s">
        <v>346</v>
      </c>
      <c r="I21" s="737"/>
      <c r="J21" s="738"/>
      <c r="K21" s="256"/>
      <c r="M21" s="314" t="s">
        <v>347</v>
      </c>
      <c r="N21" s="737"/>
      <c r="O21" s="738"/>
      <c r="P21" s="250"/>
      <c r="Q21" s="250"/>
      <c r="R21" s="250"/>
      <c r="S21" s="250"/>
      <c r="T21" s="263"/>
      <c r="U21" s="263"/>
      <c r="V21" s="263"/>
    </row>
    <row r="22" spans="1:22" ht="18.75" x14ac:dyDescent="0.25">
      <c r="A22" s="265"/>
      <c r="B22" s="249"/>
      <c r="C22" s="258" t="s">
        <v>348</v>
      </c>
      <c r="D22" s="737"/>
      <c r="E22" s="738"/>
      <c r="F22" s="256"/>
      <c r="G22" s="249"/>
      <c r="H22" s="258" t="s">
        <v>349</v>
      </c>
      <c r="I22" s="739"/>
      <c r="J22" s="740"/>
      <c r="K22" s="256"/>
      <c r="L22" s="268"/>
      <c r="M22" s="258" t="s">
        <v>350</v>
      </c>
      <c r="N22" s="739"/>
      <c r="O22" s="740"/>
      <c r="P22" s="250"/>
      <c r="Q22" s="250"/>
      <c r="R22" s="250"/>
      <c r="S22" s="250"/>
      <c r="T22" s="263"/>
      <c r="U22" s="263"/>
      <c r="V22" s="263"/>
    </row>
    <row r="23" spans="1:22" ht="18.75" x14ac:dyDescent="0.25">
      <c r="A23" s="265"/>
      <c r="B23" s="249"/>
      <c r="C23" s="258" t="s">
        <v>351</v>
      </c>
      <c r="D23" s="761"/>
      <c r="E23" s="762"/>
      <c r="F23" s="256"/>
      <c r="G23" s="249"/>
      <c r="H23" s="258" t="s">
        <v>352</v>
      </c>
      <c r="I23" s="315" t="str">
        <f>IFERROR(I22/D23,"-")</f>
        <v>-</v>
      </c>
      <c r="J23" s="316"/>
      <c r="K23" s="256"/>
      <c r="L23" s="268"/>
      <c r="M23" s="258" t="s">
        <v>353</v>
      </c>
      <c r="N23" s="315" t="e">
        <f>I22/N22</f>
        <v>#DIV/0!</v>
      </c>
      <c r="O23" s="317"/>
      <c r="P23" s="250"/>
      <c r="Q23" s="250"/>
      <c r="R23" s="250"/>
      <c r="S23" s="250"/>
      <c r="T23" s="263"/>
      <c r="U23" s="263"/>
      <c r="V23" s="263"/>
    </row>
    <row r="24" spans="1:22" ht="19.5" thickBot="1" x14ac:dyDescent="0.3">
      <c r="A24" s="265"/>
      <c r="B24" s="266"/>
      <c r="C24" s="250"/>
      <c r="D24" s="250"/>
      <c r="E24" s="250"/>
      <c r="F24" s="250"/>
      <c r="G24" s="250"/>
      <c r="H24" s="250"/>
      <c r="I24" s="267"/>
      <c r="J24" s="268"/>
      <c r="K24" s="268"/>
      <c r="L24" s="268"/>
      <c r="M24" s="268"/>
      <c r="N24" s="268"/>
      <c r="O24" s="250"/>
      <c r="P24" s="250"/>
      <c r="Q24" s="250"/>
      <c r="R24" s="250"/>
      <c r="S24" s="250"/>
      <c r="T24" s="263"/>
      <c r="U24" s="263"/>
      <c r="V24" s="263"/>
    </row>
    <row r="25" spans="1:22" ht="36.75" customHeight="1" thickBot="1" x14ac:dyDescent="0.3">
      <c r="A25" s="763" t="s">
        <v>354</v>
      </c>
      <c r="B25" s="318" t="s">
        <v>355</v>
      </c>
      <c r="C25" s="318"/>
      <c r="D25" s="318"/>
      <c r="E25" s="318"/>
      <c r="F25" s="318"/>
      <c r="G25" s="318"/>
      <c r="H25" s="318"/>
      <c r="I25" s="318"/>
      <c r="J25" s="319"/>
      <c r="K25" s="319"/>
      <c r="L25" s="319"/>
      <c r="M25" s="319"/>
      <c r="N25" s="319"/>
      <c r="O25" s="319"/>
      <c r="P25" s="319"/>
      <c r="Q25" s="319"/>
      <c r="R25" s="319"/>
      <c r="S25" s="319"/>
      <c r="T25" s="319"/>
      <c r="U25" s="319"/>
      <c r="V25" s="320"/>
    </row>
    <row r="26" spans="1:22" ht="14.25" customHeight="1" x14ac:dyDescent="0.25">
      <c r="A26" s="764"/>
      <c r="B26" s="766" t="s">
        <v>356</v>
      </c>
      <c r="C26" s="769" t="s">
        <v>357</v>
      </c>
      <c r="D26" s="770"/>
      <c r="E26" s="773" t="s">
        <v>358</v>
      </c>
      <c r="F26" s="776" t="s">
        <v>359</v>
      </c>
      <c r="G26" s="776" t="s">
        <v>360</v>
      </c>
      <c r="H26" s="776" t="s">
        <v>361</v>
      </c>
      <c r="I26" s="788" t="s">
        <v>362</v>
      </c>
      <c r="J26" s="791" t="s">
        <v>363</v>
      </c>
      <c r="K26" s="792"/>
      <c r="L26" s="792"/>
      <c r="M26" s="792"/>
      <c r="N26" s="792"/>
      <c r="O26" s="792"/>
      <c r="P26" s="792"/>
      <c r="Q26" s="792"/>
      <c r="R26" s="792"/>
      <c r="S26" s="792"/>
      <c r="T26" s="792"/>
      <c r="U26" s="792"/>
      <c r="V26" s="793"/>
    </row>
    <row r="27" spans="1:22" ht="14.25" customHeight="1" x14ac:dyDescent="0.25">
      <c r="A27" s="764"/>
      <c r="B27" s="767"/>
      <c r="C27" s="771"/>
      <c r="D27" s="772"/>
      <c r="E27" s="774"/>
      <c r="F27" s="777"/>
      <c r="G27" s="777"/>
      <c r="H27" s="777"/>
      <c r="I27" s="789"/>
      <c r="J27" s="794" t="s">
        <v>28</v>
      </c>
      <c r="K27" s="795"/>
      <c r="L27" s="796" t="s">
        <v>364</v>
      </c>
      <c r="M27" s="797"/>
      <c r="N27" s="798" t="s">
        <v>365</v>
      </c>
      <c r="O27" s="799"/>
      <c r="P27" s="800" t="s">
        <v>366</v>
      </c>
      <c r="Q27" s="801"/>
      <c r="R27" s="802" t="s">
        <v>367</v>
      </c>
      <c r="S27" s="803"/>
      <c r="T27" s="804" t="s">
        <v>368</v>
      </c>
      <c r="U27" s="805"/>
      <c r="V27" s="321" t="s">
        <v>5</v>
      </c>
    </row>
    <row r="28" spans="1:22" ht="25.5" x14ac:dyDescent="0.25">
      <c r="A28" s="764"/>
      <c r="B28" s="768"/>
      <c r="C28" s="771"/>
      <c r="D28" s="772"/>
      <c r="E28" s="775"/>
      <c r="F28" s="778"/>
      <c r="G28" s="778"/>
      <c r="H28" s="778"/>
      <c r="I28" s="790"/>
      <c r="J28" s="322" t="s">
        <v>369</v>
      </c>
      <c r="K28" s="323" t="s">
        <v>370</v>
      </c>
      <c r="L28" s="324" t="s">
        <v>369</v>
      </c>
      <c r="M28" s="324" t="s">
        <v>371</v>
      </c>
      <c r="N28" s="325" t="s">
        <v>369</v>
      </c>
      <c r="O28" s="325" t="s">
        <v>371</v>
      </c>
      <c r="P28" s="326" t="s">
        <v>369</v>
      </c>
      <c r="Q28" s="326" t="s">
        <v>371</v>
      </c>
      <c r="R28" s="327" t="s">
        <v>369</v>
      </c>
      <c r="S28" s="327" t="s">
        <v>371</v>
      </c>
      <c r="T28" s="328" t="s">
        <v>369</v>
      </c>
      <c r="U28" s="329" t="s">
        <v>371</v>
      </c>
      <c r="V28" s="330" t="s">
        <v>369</v>
      </c>
    </row>
    <row r="29" spans="1:22" ht="15" customHeight="1" thickBot="1" x14ac:dyDescent="0.3">
      <c r="A29" s="764"/>
      <c r="B29" s="331"/>
      <c r="C29" s="772"/>
      <c r="D29" s="779"/>
      <c r="E29" s="332" t="s">
        <v>13</v>
      </c>
      <c r="F29" s="333" t="s">
        <v>372</v>
      </c>
      <c r="G29" s="333" t="s">
        <v>13</v>
      </c>
      <c r="H29" s="333" t="s">
        <v>12</v>
      </c>
      <c r="I29" s="334" t="s">
        <v>11</v>
      </c>
      <c r="J29" s="335" t="s">
        <v>13</v>
      </c>
      <c r="K29" s="336" t="s">
        <v>12</v>
      </c>
      <c r="L29" s="337" t="s">
        <v>13</v>
      </c>
      <c r="M29" s="337" t="s">
        <v>12</v>
      </c>
      <c r="N29" s="338" t="s">
        <v>13</v>
      </c>
      <c r="O29" s="338" t="s">
        <v>12</v>
      </c>
      <c r="P29" s="339" t="s">
        <v>13</v>
      </c>
      <c r="Q29" s="339" t="s">
        <v>12</v>
      </c>
      <c r="R29" s="340" t="s">
        <v>13</v>
      </c>
      <c r="S29" s="340" t="s">
        <v>12</v>
      </c>
      <c r="T29" s="341" t="s">
        <v>13</v>
      </c>
      <c r="U29" s="342" t="s">
        <v>12</v>
      </c>
      <c r="V29" s="343" t="s">
        <v>13</v>
      </c>
    </row>
    <row r="30" spans="1:22" ht="45.6" customHeight="1" x14ac:dyDescent="0.25">
      <c r="A30" s="764"/>
      <c r="B30" s="344" t="s">
        <v>373</v>
      </c>
      <c r="C30" s="780" t="s">
        <v>374</v>
      </c>
      <c r="D30" s="781"/>
      <c r="E30" s="345"/>
      <c r="F30" s="782"/>
      <c r="G30" s="346" t="e">
        <f>G33*E30/E33</f>
        <v>#DIV/0!</v>
      </c>
      <c r="H30" s="828" t="e">
        <f>ROUND(F30*E33/G33,5)</f>
        <v>#DIV/0!</v>
      </c>
      <c r="I30" s="347">
        <f>ROUND(E30*F30,2)</f>
        <v>0</v>
      </c>
      <c r="J30" s="825"/>
      <c r="K30" s="813"/>
      <c r="L30" s="825">
        <v>0</v>
      </c>
      <c r="M30" s="813">
        <v>0</v>
      </c>
      <c r="N30" s="825"/>
      <c r="O30" s="813"/>
      <c r="P30" s="825">
        <v>0</v>
      </c>
      <c r="Q30" s="813">
        <v>0</v>
      </c>
      <c r="R30" s="825"/>
      <c r="S30" s="813"/>
      <c r="T30" s="825">
        <v>0</v>
      </c>
      <c r="U30" s="813">
        <v>0</v>
      </c>
      <c r="V30" s="816">
        <f>J30+L30+N30+P30+R30+T30</f>
        <v>0</v>
      </c>
    </row>
    <row r="31" spans="1:22" ht="45.6" customHeight="1" x14ac:dyDescent="0.25">
      <c r="A31" s="764"/>
      <c r="B31" s="344" t="s">
        <v>373</v>
      </c>
      <c r="C31" s="780" t="s">
        <v>375</v>
      </c>
      <c r="D31" s="781"/>
      <c r="E31" s="348"/>
      <c r="F31" s="783"/>
      <c r="G31" s="349" t="e">
        <f>G33*E31/E33</f>
        <v>#DIV/0!</v>
      </c>
      <c r="H31" s="829"/>
      <c r="I31" s="347">
        <f>ROUND(E31*F30,2)</f>
        <v>0</v>
      </c>
      <c r="J31" s="826"/>
      <c r="K31" s="814"/>
      <c r="L31" s="826"/>
      <c r="M31" s="814"/>
      <c r="N31" s="826"/>
      <c r="O31" s="814"/>
      <c r="P31" s="826"/>
      <c r="Q31" s="814"/>
      <c r="R31" s="826"/>
      <c r="S31" s="814"/>
      <c r="T31" s="826"/>
      <c r="U31" s="814"/>
      <c r="V31" s="817"/>
    </row>
    <row r="32" spans="1:22" ht="45.6" customHeight="1" thickBot="1" x14ac:dyDescent="0.3">
      <c r="A32" s="764"/>
      <c r="B32" s="350" t="s">
        <v>376</v>
      </c>
      <c r="C32" s="809" t="s">
        <v>377</v>
      </c>
      <c r="D32" s="810"/>
      <c r="E32" s="351"/>
      <c r="F32" s="784"/>
      <c r="G32" s="352" t="e">
        <f>G33*E32/E33</f>
        <v>#DIV/0!</v>
      </c>
      <c r="H32" s="830"/>
      <c r="I32" s="353">
        <f>ROUND(E32*F30,2)</f>
        <v>0</v>
      </c>
      <c r="J32" s="827"/>
      <c r="K32" s="815"/>
      <c r="L32" s="827"/>
      <c r="M32" s="815"/>
      <c r="N32" s="827"/>
      <c r="O32" s="815"/>
      <c r="P32" s="827"/>
      <c r="Q32" s="815"/>
      <c r="R32" s="827"/>
      <c r="S32" s="815"/>
      <c r="T32" s="827"/>
      <c r="U32" s="815"/>
      <c r="V32" s="818"/>
    </row>
    <row r="33" spans="1:22" ht="34.5" customHeight="1" thickBot="1" x14ac:dyDescent="0.3">
      <c r="A33" s="764"/>
      <c r="B33" s="811" t="s">
        <v>5</v>
      </c>
      <c r="C33" s="811"/>
      <c r="D33" s="812"/>
      <c r="E33" s="354">
        <f>SUM(E30:E32)</f>
        <v>0</v>
      </c>
      <c r="F33" s="355"/>
      <c r="G33" s="356"/>
      <c r="H33" s="357"/>
      <c r="I33" s="358">
        <f>SUM(I30:I32)</f>
        <v>0</v>
      </c>
      <c r="J33" s="359">
        <f>SUM(J30:J32)</f>
        <v>0</v>
      </c>
      <c r="K33" s="360"/>
      <c r="L33" s="361">
        <f>SUM(L30:L32)</f>
        <v>0</v>
      </c>
      <c r="M33" s="360"/>
      <c r="N33" s="361">
        <f>SUM(N30:N32)</f>
        <v>0</v>
      </c>
      <c r="O33" s="360"/>
      <c r="P33" s="361">
        <f>SUM(P30:P32)</f>
        <v>0</v>
      </c>
      <c r="Q33" s="360"/>
      <c r="R33" s="362">
        <f>SUM(R30:R32)</f>
        <v>0</v>
      </c>
      <c r="S33" s="360"/>
      <c r="T33" s="361">
        <f>SUM(T30:T32)</f>
        <v>0</v>
      </c>
      <c r="U33" s="363"/>
      <c r="V33" s="364">
        <f>SUM(V30)</f>
        <v>0</v>
      </c>
    </row>
    <row r="34" spans="1:22" ht="19.5" thickBot="1" x14ac:dyDescent="0.3">
      <c r="A34" s="764"/>
      <c r="B34" s="266"/>
      <c r="C34" s="250"/>
      <c r="D34" s="250"/>
      <c r="E34" s="250"/>
      <c r="F34" s="250"/>
      <c r="G34" s="250"/>
      <c r="H34" s="250"/>
      <c r="I34" s="267"/>
      <c r="J34" s="268"/>
      <c r="K34" s="268"/>
      <c r="L34" s="268"/>
      <c r="M34" s="268"/>
      <c r="N34" s="268"/>
      <c r="O34" s="250"/>
      <c r="P34" s="250"/>
      <c r="Q34" s="250"/>
      <c r="R34" s="250"/>
      <c r="S34" s="250"/>
      <c r="T34" s="263"/>
      <c r="U34" s="263"/>
      <c r="V34" s="263"/>
    </row>
    <row r="35" spans="1:22" ht="18.75" x14ac:dyDescent="0.25">
      <c r="A35" s="764"/>
      <c r="B35" s="766" t="s">
        <v>356</v>
      </c>
      <c r="C35" s="769" t="s">
        <v>357</v>
      </c>
      <c r="D35" s="770"/>
      <c r="E35" s="819" t="s">
        <v>378</v>
      </c>
      <c r="F35" s="820"/>
      <c r="G35" s="820"/>
      <c r="H35" s="820"/>
      <c r="I35" s="820"/>
      <c r="J35" s="820"/>
      <c r="K35" s="820"/>
      <c r="L35" s="820"/>
      <c r="M35" s="820"/>
      <c r="N35" s="820"/>
      <c r="O35" s="820"/>
      <c r="P35" s="820"/>
      <c r="Q35" s="820"/>
      <c r="R35" s="820"/>
      <c r="S35" s="821"/>
      <c r="T35" s="263"/>
      <c r="U35" s="263"/>
      <c r="V35" s="263"/>
    </row>
    <row r="36" spans="1:22" ht="19.5" thickBot="1" x14ac:dyDescent="0.3">
      <c r="A36" s="764"/>
      <c r="B36" s="767"/>
      <c r="C36" s="771"/>
      <c r="D36" s="772"/>
      <c r="E36" s="822"/>
      <c r="F36" s="823"/>
      <c r="G36" s="823"/>
      <c r="H36" s="823"/>
      <c r="I36" s="823"/>
      <c r="J36" s="823"/>
      <c r="K36" s="823"/>
      <c r="L36" s="823"/>
      <c r="M36" s="823"/>
      <c r="N36" s="823"/>
      <c r="O36" s="823"/>
      <c r="P36" s="823"/>
      <c r="Q36" s="823"/>
      <c r="R36" s="823"/>
      <c r="S36" s="824"/>
      <c r="T36" s="263"/>
      <c r="U36" s="263"/>
      <c r="V36" s="263"/>
    </row>
    <row r="37" spans="1:22" ht="51" x14ac:dyDescent="0.25">
      <c r="A37" s="764"/>
      <c r="B37" s="768"/>
      <c r="C37" s="771"/>
      <c r="D37" s="772"/>
      <c r="E37" s="365" t="s">
        <v>379</v>
      </c>
      <c r="F37" s="366" t="s">
        <v>380</v>
      </c>
      <c r="G37" s="367" t="s">
        <v>381</v>
      </c>
      <c r="H37" s="367" t="s">
        <v>382</v>
      </c>
      <c r="I37" s="368" t="s">
        <v>383</v>
      </c>
      <c r="J37" s="365" t="s">
        <v>384</v>
      </c>
      <c r="K37" s="366" t="s">
        <v>385</v>
      </c>
      <c r="L37" s="367" t="s">
        <v>386</v>
      </c>
      <c r="M37" s="365" t="s">
        <v>387</v>
      </c>
      <c r="N37" s="366" t="s">
        <v>388</v>
      </c>
      <c r="O37" s="367" t="s">
        <v>389</v>
      </c>
      <c r="P37" s="365" t="s">
        <v>390</v>
      </c>
      <c r="Q37" s="366" t="s">
        <v>391</v>
      </c>
      <c r="R37" s="369" t="s">
        <v>392</v>
      </c>
      <c r="S37" s="370" t="s">
        <v>393</v>
      </c>
      <c r="T37" s="263"/>
      <c r="U37" s="263"/>
      <c r="V37" s="263"/>
    </row>
    <row r="38" spans="1:22" ht="19.5" thickBot="1" x14ac:dyDescent="0.3">
      <c r="A38" s="764"/>
      <c r="B38" s="331"/>
      <c r="C38" s="772"/>
      <c r="D38" s="779"/>
      <c r="E38" s="332" t="s">
        <v>12</v>
      </c>
      <c r="F38" s="371" t="s">
        <v>13</v>
      </c>
      <c r="G38" s="333" t="s">
        <v>12</v>
      </c>
      <c r="H38" s="372" t="s">
        <v>13</v>
      </c>
      <c r="I38" s="373" t="s">
        <v>11</v>
      </c>
      <c r="J38" s="374" t="s">
        <v>13</v>
      </c>
      <c r="K38" s="372" t="s">
        <v>13</v>
      </c>
      <c r="L38" s="372" t="s">
        <v>13</v>
      </c>
      <c r="M38" s="374" t="s">
        <v>13</v>
      </c>
      <c r="N38" s="371" t="s">
        <v>13</v>
      </c>
      <c r="O38" s="372" t="s">
        <v>13</v>
      </c>
      <c r="P38" s="375" t="s">
        <v>11</v>
      </c>
      <c r="Q38" s="333" t="s">
        <v>11</v>
      </c>
      <c r="R38" s="376" t="s">
        <v>11</v>
      </c>
      <c r="S38" s="377" t="s">
        <v>11</v>
      </c>
      <c r="T38" s="263"/>
      <c r="U38" s="263"/>
      <c r="V38" s="263"/>
    </row>
    <row r="39" spans="1:22" ht="39.75" customHeight="1" x14ac:dyDescent="0.25">
      <c r="A39" s="764"/>
      <c r="B39" s="344" t="s">
        <v>373</v>
      </c>
      <c r="C39" s="780" t="s">
        <v>374</v>
      </c>
      <c r="D39" s="781"/>
      <c r="E39" s="785" t="e">
        <f>ROUND(((J30*K30)+(L30*M30)+(N30*O30)+(P30*Q30)+(R30*S30)+(T30*U30))/F42,5)</f>
        <v>#DIV/0!</v>
      </c>
      <c r="F39" s="378"/>
      <c r="G39" s="806" t="e">
        <f>ROUND(((J30*K30)+(L30*M30)+(N30*O30)+(P30*Q30)+(R30*S30)+(T30*U30))/H42,5)</f>
        <v>#DIV/0!</v>
      </c>
      <c r="H39" s="379" t="e">
        <f>ROUND(V30*F39/F42,1)</f>
        <v>#DIV/0!</v>
      </c>
      <c r="I39" s="380" t="e">
        <f>ROUND(G39*H39,2)</f>
        <v>#DIV/0!</v>
      </c>
      <c r="J39" s="381">
        <f>E30-F39</f>
        <v>0</v>
      </c>
      <c r="K39" s="382"/>
      <c r="L39" s="383"/>
      <c r="M39" s="381" t="e">
        <f>G30-H39</f>
        <v>#DIV/0!</v>
      </c>
      <c r="N39" s="382"/>
      <c r="O39" s="383"/>
      <c r="P39" s="384" t="e">
        <f>I30-I39</f>
        <v>#DIV/0!</v>
      </c>
      <c r="Q39" s="385"/>
      <c r="R39" s="386"/>
      <c r="S39" s="387" t="e">
        <f>SUM(P39:R39)</f>
        <v>#DIV/0!</v>
      </c>
      <c r="T39" s="263"/>
      <c r="U39" s="263"/>
      <c r="V39" s="263"/>
    </row>
    <row r="40" spans="1:22" ht="39.75" customHeight="1" x14ac:dyDescent="0.25">
      <c r="A40" s="764"/>
      <c r="B40" s="344" t="s">
        <v>373</v>
      </c>
      <c r="C40" s="780" t="s">
        <v>375</v>
      </c>
      <c r="D40" s="781"/>
      <c r="E40" s="786"/>
      <c r="F40" s="378"/>
      <c r="G40" s="807"/>
      <c r="H40" s="388" t="e">
        <f>ROUND(V30*F40/F42,1)</f>
        <v>#DIV/0!</v>
      </c>
      <c r="I40" s="389" t="e">
        <f>ROUND(G39*H40,2)</f>
        <v>#DIV/0!</v>
      </c>
      <c r="J40" s="390">
        <f>E31-F40</f>
        <v>0</v>
      </c>
      <c r="K40" s="391"/>
      <c r="L40" s="392"/>
      <c r="M40" s="390" t="e">
        <f>G31-H40</f>
        <v>#DIV/0!</v>
      </c>
      <c r="N40" s="391"/>
      <c r="O40" s="392"/>
      <c r="P40" s="393" t="e">
        <f>I31-I40</f>
        <v>#DIV/0!</v>
      </c>
      <c r="Q40" s="394"/>
      <c r="R40" s="395"/>
      <c r="S40" s="396" t="e">
        <f>SUM(P40:R40)</f>
        <v>#DIV/0!</v>
      </c>
      <c r="T40" s="263"/>
      <c r="U40" s="263"/>
      <c r="V40" s="263"/>
    </row>
    <row r="41" spans="1:22" ht="39.75" customHeight="1" thickBot="1" x14ac:dyDescent="0.3">
      <c r="A41" s="764"/>
      <c r="B41" s="350" t="s">
        <v>376</v>
      </c>
      <c r="C41" s="809" t="s">
        <v>377</v>
      </c>
      <c r="D41" s="810"/>
      <c r="E41" s="787"/>
      <c r="F41" s="378"/>
      <c r="G41" s="808"/>
      <c r="H41" s="397" t="e">
        <f>ROUND(V30*F41/F42,1)</f>
        <v>#DIV/0!</v>
      </c>
      <c r="I41" s="398" t="e">
        <f>ROUND(G39*H41,2)</f>
        <v>#DIV/0!</v>
      </c>
      <c r="J41" s="399">
        <v>0</v>
      </c>
      <c r="K41" s="400">
        <f>E32-F41</f>
        <v>0</v>
      </c>
      <c r="L41" s="401"/>
      <c r="M41" s="399">
        <v>0</v>
      </c>
      <c r="N41" s="400" t="e">
        <f>G32-H41</f>
        <v>#DIV/0!</v>
      </c>
      <c r="O41" s="402">
        <f>IFERROR(L41*N41/K41,0)</f>
        <v>0</v>
      </c>
      <c r="P41" s="403" t="e">
        <f>F41*(F30-E39)</f>
        <v>#DIV/0!</v>
      </c>
      <c r="Q41" s="404">
        <f>K41*F30</f>
        <v>0</v>
      </c>
      <c r="R41" s="405">
        <f>L41*F30</f>
        <v>0</v>
      </c>
      <c r="S41" s="406" t="e">
        <f>ROUND(SUM(P41:R41),2)</f>
        <v>#DIV/0!</v>
      </c>
      <c r="T41" s="263"/>
      <c r="U41" s="263"/>
      <c r="V41" s="263"/>
    </row>
    <row r="42" spans="1:22" ht="40.5" customHeight="1" thickBot="1" x14ac:dyDescent="0.3">
      <c r="A42" s="765"/>
      <c r="B42" s="811" t="s">
        <v>5</v>
      </c>
      <c r="C42" s="811"/>
      <c r="D42" s="812"/>
      <c r="E42" s="407"/>
      <c r="F42" s="408">
        <f>SUM(F39:F41)</f>
        <v>0</v>
      </c>
      <c r="G42" s="409"/>
      <c r="H42" s="410" t="e">
        <f>SUM(H39:H41)</f>
        <v>#DIV/0!</v>
      </c>
      <c r="I42" s="411" t="e">
        <f>SUM(I39:I41)</f>
        <v>#DIV/0!</v>
      </c>
      <c r="J42" s="307">
        <f>SUM(J39:J41)</f>
        <v>0</v>
      </c>
      <c r="K42" s="307">
        <f>SUM(K39:K41)</f>
        <v>0</v>
      </c>
      <c r="L42" s="412">
        <f>SUM(L41)</f>
        <v>0</v>
      </c>
      <c r="M42" s="307" t="e">
        <f>SUM(M39:M41)</f>
        <v>#DIV/0!</v>
      </c>
      <c r="N42" s="307" t="e">
        <f>SUM(N39:N41)</f>
        <v>#DIV/0!</v>
      </c>
      <c r="O42" s="412">
        <f>SUM(O41)</f>
        <v>0</v>
      </c>
      <c r="P42" s="413" t="e">
        <f>SUM(P39:P41)</f>
        <v>#DIV/0!</v>
      </c>
      <c r="Q42" s="413">
        <f>SUM(Q39:Q41)</f>
        <v>0</v>
      </c>
      <c r="R42" s="414">
        <f>SUM(R39:R41)</f>
        <v>0</v>
      </c>
      <c r="S42" s="415" t="e">
        <f>SUM(S39:S41)</f>
        <v>#DIV/0!</v>
      </c>
      <c r="T42" s="263"/>
      <c r="U42" s="263"/>
      <c r="V42" s="263"/>
    </row>
    <row r="43" spans="1:22" ht="18.75" x14ac:dyDescent="0.25">
      <c r="A43" s="265"/>
      <c r="B43" s="266"/>
      <c r="C43" s="250"/>
      <c r="D43" s="250"/>
      <c r="E43" s="250"/>
      <c r="F43" s="416"/>
      <c r="G43" s="416"/>
      <c r="H43" s="250"/>
      <c r="I43" s="267"/>
      <c r="J43" s="268"/>
      <c r="K43" s="268"/>
      <c r="L43" s="268"/>
      <c r="M43" s="268"/>
      <c r="N43" s="268"/>
      <c r="O43" s="250"/>
      <c r="P43" s="250"/>
      <c r="Q43" s="250"/>
      <c r="R43" s="250"/>
      <c r="S43" s="250"/>
      <c r="T43" s="263"/>
      <c r="U43" s="263"/>
      <c r="V43" s="263"/>
    </row>
    <row r="44" spans="1:22" ht="19.5" thickBot="1" x14ac:dyDescent="0.3">
      <c r="A44" s="265"/>
      <c r="B44" s="266"/>
      <c r="C44" s="250"/>
      <c r="D44" s="250"/>
      <c r="E44" s="250"/>
      <c r="F44" s="416"/>
      <c r="G44" s="250"/>
      <c r="H44" s="250"/>
      <c r="I44" s="267"/>
      <c r="J44" s="268"/>
      <c r="K44" s="268"/>
      <c r="L44" s="268"/>
      <c r="M44" s="268"/>
      <c r="N44" s="268"/>
      <c r="O44" s="250"/>
      <c r="P44" s="250"/>
      <c r="Q44" s="250"/>
      <c r="R44" s="250"/>
      <c r="S44" s="250"/>
      <c r="T44" s="263"/>
      <c r="U44" s="263"/>
      <c r="V44" s="263"/>
    </row>
    <row r="45" spans="1:22" ht="36.75" customHeight="1" thickBot="1" x14ac:dyDescent="0.3">
      <c r="A45" s="763" t="s">
        <v>394</v>
      </c>
      <c r="B45" s="417" t="s">
        <v>395</v>
      </c>
      <c r="C45" s="319"/>
      <c r="D45" s="319"/>
      <c r="E45" s="319"/>
      <c r="F45" s="319"/>
      <c r="G45" s="319"/>
      <c r="H45" s="319"/>
      <c r="I45" s="319"/>
      <c r="J45" s="319"/>
      <c r="K45" s="319"/>
      <c r="L45" s="319"/>
      <c r="M45" s="319"/>
      <c r="N45" s="319"/>
      <c r="O45" s="319"/>
      <c r="P45" s="319"/>
      <c r="Q45" s="319"/>
      <c r="R45" s="319"/>
      <c r="S45" s="319"/>
      <c r="T45" s="319"/>
      <c r="U45" s="319"/>
      <c r="V45" s="320"/>
    </row>
    <row r="46" spans="1:22" ht="45" customHeight="1" x14ac:dyDescent="0.25">
      <c r="A46" s="764"/>
      <c r="B46" s="774" t="s">
        <v>396</v>
      </c>
      <c r="C46" s="777" t="s">
        <v>357</v>
      </c>
      <c r="D46" s="838" t="s">
        <v>397</v>
      </c>
      <c r="E46" s="774" t="s">
        <v>358</v>
      </c>
      <c r="F46" s="777" t="s">
        <v>359</v>
      </c>
      <c r="G46" s="777" t="s">
        <v>360</v>
      </c>
      <c r="H46" s="777" t="s">
        <v>361</v>
      </c>
      <c r="I46" s="789" t="s">
        <v>362</v>
      </c>
      <c r="J46" s="831" t="s">
        <v>363</v>
      </c>
      <c r="K46" s="832"/>
      <c r="L46" s="832"/>
      <c r="M46" s="832"/>
      <c r="N46" s="832"/>
      <c r="O46" s="832"/>
      <c r="P46" s="832"/>
      <c r="Q46" s="832"/>
      <c r="R46" s="832"/>
      <c r="S46" s="832"/>
      <c r="T46" s="832"/>
      <c r="U46" s="832"/>
      <c r="V46" s="833"/>
    </row>
    <row r="47" spans="1:22" ht="30" customHeight="1" x14ac:dyDescent="0.25">
      <c r="A47" s="764"/>
      <c r="B47" s="774"/>
      <c r="C47" s="777"/>
      <c r="D47" s="838"/>
      <c r="E47" s="774"/>
      <c r="F47" s="777"/>
      <c r="G47" s="777"/>
      <c r="H47" s="777"/>
      <c r="I47" s="789"/>
      <c r="J47" s="794" t="s">
        <v>28</v>
      </c>
      <c r="K47" s="795"/>
      <c r="L47" s="796" t="s">
        <v>364</v>
      </c>
      <c r="M47" s="797"/>
      <c r="N47" s="798" t="s">
        <v>365</v>
      </c>
      <c r="O47" s="799"/>
      <c r="P47" s="800" t="s">
        <v>366</v>
      </c>
      <c r="Q47" s="801"/>
      <c r="R47" s="802" t="s">
        <v>367</v>
      </c>
      <c r="S47" s="803"/>
      <c r="T47" s="804" t="s">
        <v>368</v>
      </c>
      <c r="U47" s="805"/>
      <c r="V47" s="321" t="s">
        <v>5</v>
      </c>
    </row>
    <row r="48" spans="1:22" ht="65.25" customHeight="1" x14ac:dyDescent="0.25">
      <c r="A48" s="764"/>
      <c r="B48" s="775"/>
      <c r="C48" s="778"/>
      <c r="D48" s="839"/>
      <c r="E48" s="775"/>
      <c r="F48" s="778"/>
      <c r="G48" s="778"/>
      <c r="H48" s="778"/>
      <c r="I48" s="790"/>
      <c r="J48" s="322" t="s">
        <v>369</v>
      </c>
      <c r="K48" s="323" t="s">
        <v>370</v>
      </c>
      <c r="L48" s="324" t="s">
        <v>369</v>
      </c>
      <c r="M48" s="324" t="s">
        <v>371</v>
      </c>
      <c r="N48" s="325" t="s">
        <v>369</v>
      </c>
      <c r="O48" s="325" t="s">
        <v>371</v>
      </c>
      <c r="P48" s="326" t="s">
        <v>369</v>
      </c>
      <c r="Q48" s="326" t="s">
        <v>371</v>
      </c>
      <c r="R48" s="327" t="s">
        <v>369</v>
      </c>
      <c r="S48" s="327" t="s">
        <v>371</v>
      </c>
      <c r="T48" s="328" t="s">
        <v>369</v>
      </c>
      <c r="U48" s="329" t="s">
        <v>371</v>
      </c>
      <c r="V48" s="330" t="s">
        <v>369</v>
      </c>
    </row>
    <row r="49" spans="1:22" ht="15" customHeight="1" thickBot="1" x14ac:dyDescent="0.3">
      <c r="A49" s="764"/>
      <c r="B49" s="418"/>
      <c r="C49" s="419"/>
      <c r="D49" s="331"/>
      <c r="E49" s="332" t="s">
        <v>13</v>
      </c>
      <c r="F49" s="333" t="s">
        <v>372</v>
      </c>
      <c r="G49" s="333" t="s">
        <v>13</v>
      </c>
      <c r="H49" s="333" t="s">
        <v>12</v>
      </c>
      <c r="I49" s="334" t="s">
        <v>11</v>
      </c>
      <c r="J49" s="335" t="s">
        <v>13</v>
      </c>
      <c r="K49" s="336" t="s">
        <v>12</v>
      </c>
      <c r="L49" s="337" t="s">
        <v>13</v>
      </c>
      <c r="M49" s="337" t="s">
        <v>12</v>
      </c>
      <c r="N49" s="338" t="s">
        <v>13</v>
      </c>
      <c r="O49" s="338" t="s">
        <v>12</v>
      </c>
      <c r="P49" s="339" t="s">
        <v>13</v>
      </c>
      <c r="Q49" s="339" t="s">
        <v>12</v>
      </c>
      <c r="R49" s="340" t="s">
        <v>13</v>
      </c>
      <c r="S49" s="340" t="s">
        <v>12</v>
      </c>
      <c r="T49" s="341" t="s">
        <v>13</v>
      </c>
      <c r="U49" s="342" t="s">
        <v>12</v>
      </c>
      <c r="V49" s="343" t="s">
        <v>13</v>
      </c>
    </row>
    <row r="50" spans="1:22" ht="45.6" customHeight="1" x14ac:dyDescent="0.25">
      <c r="A50" s="764"/>
      <c r="B50" s="420" t="s">
        <v>373</v>
      </c>
      <c r="C50" s="421" t="str">
        <f>C30</f>
        <v>OGREVANJE</v>
      </c>
      <c r="D50" s="422"/>
      <c r="E50" s="423">
        <f>E30*D50</f>
        <v>0</v>
      </c>
      <c r="F50" s="828">
        <f>F30</f>
        <v>0</v>
      </c>
      <c r="G50" s="346" t="e">
        <f>G30*D50</f>
        <v>#DIV/0!</v>
      </c>
      <c r="H50" s="828" t="e">
        <f>H30</f>
        <v>#DIV/0!</v>
      </c>
      <c r="I50" s="347">
        <f>ROUND(E50*F50,2)</f>
        <v>0</v>
      </c>
      <c r="J50" s="840">
        <f>J30*$D50</f>
        <v>0</v>
      </c>
      <c r="K50" s="806">
        <f>K30</f>
        <v>0</v>
      </c>
      <c r="L50" s="840">
        <f>L30*$D50</f>
        <v>0</v>
      </c>
      <c r="M50" s="806">
        <f>M30</f>
        <v>0</v>
      </c>
      <c r="N50" s="840">
        <f>N30*$D50</f>
        <v>0</v>
      </c>
      <c r="O50" s="806">
        <f>O30</f>
        <v>0</v>
      </c>
      <c r="P50" s="840">
        <f>P30*$D50</f>
        <v>0</v>
      </c>
      <c r="Q50" s="806">
        <f>Q30</f>
        <v>0</v>
      </c>
      <c r="R50" s="840">
        <f>R30*$D50</f>
        <v>0</v>
      </c>
      <c r="S50" s="806">
        <f>S30</f>
        <v>0</v>
      </c>
      <c r="T50" s="840">
        <f>T30*$D50</f>
        <v>0</v>
      </c>
      <c r="U50" s="871">
        <f>U30</f>
        <v>0</v>
      </c>
      <c r="V50" s="816">
        <f>J50+L50+N50+P50+R50+T50</f>
        <v>0</v>
      </c>
    </row>
    <row r="51" spans="1:22" ht="45.6" customHeight="1" x14ac:dyDescent="0.25">
      <c r="A51" s="764"/>
      <c r="B51" s="420" t="s">
        <v>373</v>
      </c>
      <c r="C51" s="421" t="str">
        <f>C31</f>
        <v>SANITARNA TOPLA VODA</v>
      </c>
      <c r="D51" s="422"/>
      <c r="E51" s="423">
        <f>E31*D51</f>
        <v>0</v>
      </c>
      <c r="F51" s="829"/>
      <c r="G51" s="346" t="e">
        <f>G31*D51</f>
        <v>#DIV/0!</v>
      </c>
      <c r="H51" s="829"/>
      <c r="I51" s="347">
        <f>ROUND(E51*F50,2)</f>
        <v>0</v>
      </c>
      <c r="J51" s="841"/>
      <c r="K51" s="807"/>
      <c r="L51" s="841"/>
      <c r="M51" s="807"/>
      <c r="N51" s="841"/>
      <c r="O51" s="807"/>
      <c r="P51" s="841"/>
      <c r="Q51" s="807"/>
      <c r="R51" s="841"/>
      <c r="S51" s="807"/>
      <c r="T51" s="841"/>
      <c r="U51" s="872"/>
      <c r="V51" s="817"/>
    </row>
    <row r="52" spans="1:22" ht="45.6" customHeight="1" thickBot="1" x14ac:dyDescent="0.3">
      <c r="A52" s="764"/>
      <c r="B52" s="420" t="s">
        <v>376</v>
      </c>
      <c r="C52" s="421" t="str">
        <f>C32</f>
        <v>OSTALO - PRISILNO PREZRAČEVANJE</v>
      </c>
      <c r="D52" s="422"/>
      <c r="E52" s="423">
        <f>E32*D52</f>
        <v>0</v>
      </c>
      <c r="F52" s="830"/>
      <c r="G52" s="346" t="e">
        <f>G32*D52</f>
        <v>#DIV/0!</v>
      </c>
      <c r="H52" s="830"/>
      <c r="I52" s="347">
        <f>ROUND(E52*F50,2)</f>
        <v>0</v>
      </c>
      <c r="J52" s="842"/>
      <c r="K52" s="808"/>
      <c r="L52" s="842"/>
      <c r="M52" s="808"/>
      <c r="N52" s="842"/>
      <c r="O52" s="808"/>
      <c r="P52" s="842"/>
      <c r="Q52" s="808"/>
      <c r="R52" s="842"/>
      <c r="S52" s="808"/>
      <c r="T52" s="842"/>
      <c r="U52" s="873"/>
      <c r="V52" s="818"/>
    </row>
    <row r="53" spans="1:22" ht="34.5" customHeight="1" thickBot="1" x14ac:dyDescent="0.3">
      <c r="A53" s="764"/>
      <c r="B53" s="834" t="str">
        <f>B33</f>
        <v>SKUPAJ</v>
      </c>
      <c r="C53" s="835"/>
      <c r="D53" s="836"/>
      <c r="E53" s="424">
        <f>SUM(E50:E52)</f>
        <v>0</v>
      </c>
      <c r="F53" s="425"/>
      <c r="G53" s="426" t="e">
        <f>SUM(G50:G52)</f>
        <v>#DIV/0!</v>
      </c>
      <c r="H53" s="362"/>
      <c r="I53" s="427">
        <f>SUM(I50:I52)</f>
        <v>0</v>
      </c>
      <c r="J53" s="359">
        <f>SUM(J50:J52)</f>
        <v>0</v>
      </c>
      <c r="K53" s="360"/>
      <c r="L53" s="361">
        <f>SUM(L50:L52)</f>
        <v>0</v>
      </c>
      <c r="M53" s="360"/>
      <c r="N53" s="361">
        <f>SUM(N50:N52)</f>
        <v>0</v>
      </c>
      <c r="O53" s="360"/>
      <c r="P53" s="361">
        <f>SUM(P50:P52)</f>
        <v>0</v>
      </c>
      <c r="Q53" s="360"/>
      <c r="R53" s="362">
        <f>SUM(R50:R52)</f>
        <v>0</v>
      </c>
      <c r="S53" s="360"/>
      <c r="T53" s="361">
        <f>SUM(T50:T52)</f>
        <v>0</v>
      </c>
      <c r="U53" s="363"/>
      <c r="V53" s="364">
        <f>SUM(V50)</f>
        <v>0</v>
      </c>
    </row>
    <row r="54" spans="1:22" ht="18" customHeight="1" thickBot="1" x14ac:dyDescent="0.3">
      <c r="A54" s="764"/>
      <c r="B54" s="266"/>
      <c r="C54" s="250"/>
      <c r="D54" s="250"/>
      <c r="E54" s="250"/>
      <c r="F54" s="250"/>
      <c r="G54" s="250"/>
      <c r="H54" s="250"/>
      <c r="I54" s="267"/>
      <c r="J54" s="268"/>
      <c r="K54" s="268"/>
      <c r="L54" s="268"/>
      <c r="M54" s="268"/>
      <c r="N54" s="268"/>
      <c r="O54" s="250"/>
      <c r="P54" s="250"/>
      <c r="Q54" s="250"/>
      <c r="R54" s="250"/>
      <c r="S54" s="250"/>
      <c r="T54" s="263"/>
      <c r="U54" s="263"/>
      <c r="V54" s="263"/>
    </row>
    <row r="55" spans="1:22" ht="18.75" x14ac:dyDescent="0.25">
      <c r="A55" s="764"/>
      <c r="B55" s="773" t="s">
        <v>396</v>
      </c>
      <c r="C55" s="776" t="s">
        <v>357</v>
      </c>
      <c r="D55" s="837" t="s">
        <v>397</v>
      </c>
      <c r="E55" s="820" t="s">
        <v>378</v>
      </c>
      <c r="F55" s="820"/>
      <c r="G55" s="820"/>
      <c r="H55" s="820"/>
      <c r="I55" s="820"/>
      <c r="J55" s="820"/>
      <c r="K55" s="820"/>
      <c r="L55" s="820"/>
      <c r="M55" s="820"/>
      <c r="N55" s="820"/>
      <c r="O55" s="820"/>
      <c r="P55" s="820"/>
      <c r="Q55" s="820"/>
      <c r="R55" s="820"/>
      <c r="S55" s="821"/>
      <c r="T55" s="263"/>
      <c r="U55" s="263"/>
      <c r="V55" s="263"/>
    </row>
    <row r="56" spans="1:22" ht="19.5" thickBot="1" x14ac:dyDescent="0.3">
      <c r="A56" s="764"/>
      <c r="B56" s="774"/>
      <c r="C56" s="777"/>
      <c r="D56" s="838"/>
      <c r="E56" s="823"/>
      <c r="F56" s="823"/>
      <c r="G56" s="823"/>
      <c r="H56" s="823"/>
      <c r="I56" s="823"/>
      <c r="J56" s="823"/>
      <c r="K56" s="823"/>
      <c r="L56" s="823"/>
      <c r="M56" s="823"/>
      <c r="N56" s="823"/>
      <c r="O56" s="823"/>
      <c r="P56" s="823"/>
      <c r="Q56" s="823"/>
      <c r="R56" s="823"/>
      <c r="S56" s="824"/>
      <c r="T56" s="263"/>
      <c r="U56" s="263"/>
      <c r="V56" s="263"/>
    </row>
    <row r="57" spans="1:22" ht="51" x14ac:dyDescent="0.25">
      <c r="A57" s="764"/>
      <c r="B57" s="775"/>
      <c r="C57" s="778"/>
      <c r="D57" s="839"/>
      <c r="E57" s="428" t="s">
        <v>379</v>
      </c>
      <c r="F57" s="366" t="s">
        <v>380</v>
      </c>
      <c r="G57" s="367" t="s">
        <v>381</v>
      </c>
      <c r="H57" s="367" t="s">
        <v>382</v>
      </c>
      <c r="I57" s="368" t="s">
        <v>383</v>
      </c>
      <c r="J57" s="365" t="s">
        <v>384</v>
      </c>
      <c r="K57" s="366" t="s">
        <v>385</v>
      </c>
      <c r="L57" s="367" t="s">
        <v>386</v>
      </c>
      <c r="M57" s="365" t="s">
        <v>387</v>
      </c>
      <c r="N57" s="366" t="s">
        <v>388</v>
      </c>
      <c r="O57" s="367" t="s">
        <v>389</v>
      </c>
      <c r="P57" s="365" t="s">
        <v>390</v>
      </c>
      <c r="Q57" s="366" t="s">
        <v>391</v>
      </c>
      <c r="R57" s="369" t="s">
        <v>392</v>
      </c>
      <c r="S57" s="370" t="s">
        <v>398</v>
      </c>
      <c r="T57" s="263"/>
      <c r="U57" s="263"/>
      <c r="V57" s="263"/>
    </row>
    <row r="58" spans="1:22" ht="19.5" thickBot="1" x14ac:dyDescent="0.3">
      <c r="A58" s="764"/>
      <c r="B58" s="418"/>
      <c r="C58" s="419"/>
      <c r="D58" s="331"/>
      <c r="E58" s="429" t="s">
        <v>12</v>
      </c>
      <c r="F58" s="371" t="s">
        <v>13</v>
      </c>
      <c r="G58" s="333" t="s">
        <v>12</v>
      </c>
      <c r="H58" s="372" t="s">
        <v>13</v>
      </c>
      <c r="I58" s="373" t="s">
        <v>11</v>
      </c>
      <c r="J58" s="374" t="s">
        <v>13</v>
      </c>
      <c r="K58" s="372" t="s">
        <v>13</v>
      </c>
      <c r="L58" s="372" t="s">
        <v>13</v>
      </c>
      <c r="M58" s="374" t="s">
        <v>13</v>
      </c>
      <c r="N58" s="371" t="s">
        <v>13</v>
      </c>
      <c r="O58" s="372" t="s">
        <v>13</v>
      </c>
      <c r="P58" s="375" t="s">
        <v>11</v>
      </c>
      <c r="Q58" s="333" t="s">
        <v>11</v>
      </c>
      <c r="R58" s="376" t="s">
        <v>11</v>
      </c>
      <c r="S58" s="377" t="s">
        <v>11</v>
      </c>
      <c r="T58" s="263"/>
      <c r="U58" s="263"/>
      <c r="V58" s="263"/>
    </row>
    <row r="59" spans="1:22" ht="35.25" customHeight="1" x14ac:dyDescent="0.25">
      <c r="A59" s="764"/>
      <c r="B59" s="420" t="s">
        <v>373</v>
      </c>
      <c r="C59" s="421" t="str">
        <f>C39</f>
        <v>OGREVANJE</v>
      </c>
      <c r="D59" s="430">
        <f>D50</f>
        <v>0</v>
      </c>
      <c r="E59" s="868" t="e">
        <f>E39</f>
        <v>#DIV/0!</v>
      </c>
      <c r="F59" s="431">
        <f>F39*$D50</f>
        <v>0</v>
      </c>
      <c r="G59" s="806" t="e">
        <f>G39</f>
        <v>#DIV/0!</v>
      </c>
      <c r="H59" s="432" t="e">
        <f>H39*$D50</f>
        <v>#DIV/0!</v>
      </c>
      <c r="I59" s="380" t="e">
        <f>ROUND(G59*H59,2)</f>
        <v>#DIV/0!</v>
      </c>
      <c r="J59" s="381">
        <f>E50-F59</f>
        <v>0</v>
      </c>
      <c r="K59" s="382"/>
      <c r="L59" s="383"/>
      <c r="M59" s="381" t="e">
        <f>G50-H59</f>
        <v>#DIV/0!</v>
      </c>
      <c r="N59" s="382"/>
      <c r="O59" s="383"/>
      <c r="P59" s="384" t="e">
        <f>ROUND(I50-I59,2)</f>
        <v>#DIV/0!</v>
      </c>
      <c r="Q59" s="385"/>
      <c r="R59" s="386"/>
      <c r="S59" s="387" t="e">
        <f>SUM(P59:R59)</f>
        <v>#DIV/0!</v>
      </c>
      <c r="T59" s="263"/>
      <c r="U59" s="263"/>
      <c r="V59" s="263"/>
    </row>
    <row r="60" spans="1:22" ht="35.25" customHeight="1" x14ac:dyDescent="0.25">
      <c r="A60" s="764"/>
      <c r="B60" s="420" t="s">
        <v>373</v>
      </c>
      <c r="C60" s="421" t="str">
        <f>C40</f>
        <v>SANITARNA TOPLA VODA</v>
      </c>
      <c r="D60" s="430">
        <f>D51</f>
        <v>0</v>
      </c>
      <c r="E60" s="869"/>
      <c r="F60" s="431">
        <f>F40*$D51</f>
        <v>0</v>
      </c>
      <c r="G60" s="807"/>
      <c r="H60" s="432" t="e">
        <f>H40*$D51</f>
        <v>#DIV/0!</v>
      </c>
      <c r="I60" s="389" t="e">
        <f>ROUND(G59*H60,2)</f>
        <v>#DIV/0!</v>
      </c>
      <c r="J60" s="390">
        <f>E51-F60</f>
        <v>0</v>
      </c>
      <c r="K60" s="391"/>
      <c r="L60" s="392"/>
      <c r="M60" s="390" t="e">
        <f>G51-H60</f>
        <v>#DIV/0!</v>
      </c>
      <c r="N60" s="391"/>
      <c r="O60" s="392"/>
      <c r="P60" s="393" t="e">
        <f>ROUND(I51-I60,2)</f>
        <v>#DIV/0!</v>
      </c>
      <c r="Q60" s="394"/>
      <c r="R60" s="395"/>
      <c r="S60" s="396" t="e">
        <f>SUM(P60:R60)</f>
        <v>#DIV/0!</v>
      </c>
      <c r="T60" s="263"/>
      <c r="U60" s="263"/>
      <c r="V60" s="263"/>
    </row>
    <row r="61" spans="1:22" ht="35.25" customHeight="1" thickBot="1" x14ac:dyDescent="0.3">
      <c r="A61" s="764"/>
      <c r="B61" s="420" t="s">
        <v>376</v>
      </c>
      <c r="C61" s="421" t="str">
        <f>C41</f>
        <v>OSTALO - PRISILNO PREZRAČEVANJE</v>
      </c>
      <c r="D61" s="430">
        <f>D52</f>
        <v>0</v>
      </c>
      <c r="E61" s="870"/>
      <c r="F61" s="431">
        <f>F41*$D52</f>
        <v>0</v>
      </c>
      <c r="G61" s="808"/>
      <c r="H61" s="432" t="e">
        <f>H41*$D52</f>
        <v>#DIV/0!</v>
      </c>
      <c r="I61" s="398" t="e">
        <f>ROUND(G59*H61,2)</f>
        <v>#DIV/0!</v>
      </c>
      <c r="J61" s="399">
        <f>J41*$D50</f>
        <v>0</v>
      </c>
      <c r="K61" s="400">
        <f>E52-F61</f>
        <v>0</v>
      </c>
      <c r="L61" s="402">
        <f>L41*$D52</f>
        <v>0</v>
      </c>
      <c r="M61" s="399">
        <v>0</v>
      </c>
      <c r="N61" s="400" t="e">
        <f>G52-H61</f>
        <v>#DIV/0!</v>
      </c>
      <c r="O61" s="402">
        <f>IFERROR(L61*N61/K61,0)</f>
        <v>0</v>
      </c>
      <c r="P61" s="403" t="e">
        <f>ROUND(F61*(F50-E59),2)</f>
        <v>#DIV/0!</v>
      </c>
      <c r="Q61" s="404">
        <f>K61*F50</f>
        <v>0</v>
      </c>
      <c r="R61" s="405">
        <f>L61*F50</f>
        <v>0</v>
      </c>
      <c r="S61" s="406" t="e">
        <f>ROUND(SUM(P61:R61),2)</f>
        <v>#DIV/0!</v>
      </c>
      <c r="T61" s="263"/>
      <c r="U61" s="263"/>
      <c r="V61" s="263"/>
    </row>
    <row r="62" spans="1:22" ht="35.25" customHeight="1" thickBot="1" x14ac:dyDescent="0.3">
      <c r="A62" s="765"/>
      <c r="B62" s="834" t="str">
        <f>B42</f>
        <v>SKUPAJ</v>
      </c>
      <c r="C62" s="835"/>
      <c r="D62" s="836"/>
      <c r="E62" s="407"/>
      <c r="F62" s="433">
        <f>SUM(F59:F61)</f>
        <v>0</v>
      </c>
      <c r="G62" s="409"/>
      <c r="H62" s="434" t="e">
        <f>SUM(H59:H61)</f>
        <v>#DIV/0!</v>
      </c>
      <c r="I62" s="411" t="e">
        <f>SUM(I59:I61)</f>
        <v>#DIV/0!</v>
      </c>
      <c r="J62" s="435">
        <f>SUM(J59:J61)</f>
        <v>0</v>
      </c>
      <c r="K62" s="435">
        <f>SUM(K59:K61)</f>
        <v>0</v>
      </c>
      <c r="L62" s="436">
        <f>SUM(L61)</f>
        <v>0</v>
      </c>
      <c r="M62" s="435" t="e">
        <f>SUM(M59:M61)</f>
        <v>#DIV/0!</v>
      </c>
      <c r="N62" s="435" t="e">
        <f>SUM(N59:N61)</f>
        <v>#DIV/0!</v>
      </c>
      <c r="O62" s="436">
        <f>SUM(O61)</f>
        <v>0</v>
      </c>
      <c r="P62" s="413" t="e">
        <f>SUM(P59:P61)</f>
        <v>#DIV/0!</v>
      </c>
      <c r="Q62" s="413">
        <f>SUM(Q59:Q61)</f>
        <v>0</v>
      </c>
      <c r="R62" s="414">
        <f>SUM(R59:R61)</f>
        <v>0</v>
      </c>
      <c r="S62" s="415" t="e">
        <f>SUM(S59:S61)</f>
        <v>#DIV/0!</v>
      </c>
      <c r="T62" s="263"/>
      <c r="U62" s="263"/>
      <c r="V62" s="263"/>
    </row>
    <row r="63" spans="1:22" ht="18.75" x14ac:dyDescent="0.25">
      <c r="A63" s="265"/>
      <c r="B63" s="266"/>
      <c r="C63" s="250"/>
      <c r="D63" s="250"/>
      <c r="E63" s="250"/>
      <c r="F63" s="250"/>
      <c r="G63" s="437"/>
      <c r="H63" s="250"/>
      <c r="I63" s="250"/>
      <c r="J63" s="268"/>
      <c r="K63" s="268"/>
      <c r="L63" s="268"/>
      <c r="M63" s="268"/>
      <c r="N63" s="268"/>
      <c r="O63" s="250"/>
      <c r="P63" s="250"/>
      <c r="Q63" s="250"/>
      <c r="R63" s="250"/>
      <c r="S63" s="250"/>
      <c r="T63" s="263"/>
      <c r="U63" s="263"/>
      <c r="V63" s="263"/>
    </row>
    <row r="64" spans="1:22" ht="19.5" thickBot="1" x14ac:dyDescent="0.3">
      <c r="A64" s="265"/>
      <c r="B64" s="266"/>
      <c r="C64" s="250"/>
      <c r="D64" s="250"/>
      <c r="E64" s="250"/>
      <c r="F64" s="250"/>
      <c r="G64" s="416"/>
      <c r="H64" s="250"/>
      <c r="I64" s="267"/>
      <c r="J64" s="268"/>
      <c r="K64" s="268"/>
      <c r="L64" s="268"/>
      <c r="M64" s="268"/>
      <c r="N64" s="268"/>
      <c r="O64" s="250"/>
      <c r="P64" s="250"/>
      <c r="Q64" s="250"/>
      <c r="R64" s="250"/>
      <c r="S64" s="250"/>
      <c r="T64" s="263"/>
      <c r="U64" s="263"/>
      <c r="V64" s="263"/>
    </row>
    <row r="65" spans="1:22" ht="36.75" customHeight="1" thickBot="1" x14ac:dyDescent="0.3">
      <c r="A65" s="855" t="s">
        <v>399</v>
      </c>
      <c r="B65" s="858" t="s">
        <v>400</v>
      </c>
      <c r="C65" s="859"/>
      <c r="D65" s="859"/>
      <c r="E65" s="859"/>
      <c r="F65" s="859"/>
      <c r="G65" s="859"/>
      <c r="H65" s="859"/>
      <c r="I65" s="859"/>
      <c r="J65" s="859"/>
      <c r="K65" s="859"/>
      <c r="L65" s="859"/>
      <c r="M65" s="859"/>
      <c r="N65" s="859"/>
      <c r="O65" s="859"/>
      <c r="P65" s="859"/>
      <c r="Q65" s="859"/>
      <c r="R65" s="859"/>
      <c r="S65" s="859"/>
      <c r="T65" s="859"/>
      <c r="U65" s="859"/>
      <c r="V65" s="860"/>
    </row>
    <row r="66" spans="1:22" ht="45" customHeight="1" x14ac:dyDescent="0.25">
      <c r="A66" s="856"/>
      <c r="B66" s="774" t="s">
        <v>396</v>
      </c>
      <c r="C66" s="844" t="s">
        <v>357</v>
      </c>
      <c r="D66" s="861" t="s">
        <v>401</v>
      </c>
      <c r="E66" s="862"/>
      <c r="F66" s="862"/>
      <c r="G66" s="862"/>
      <c r="H66" s="862"/>
      <c r="I66" s="862"/>
      <c r="J66" s="863"/>
      <c r="K66" s="850" t="s">
        <v>402</v>
      </c>
      <c r="L66" s="864"/>
      <c r="M66" s="864"/>
      <c r="N66" s="852"/>
      <c r="O66" s="865" t="s">
        <v>403</v>
      </c>
      <c r="P66" s="866"/>
      <c r="Q66" s="866"/>
      <c r="R66" s="866"/>
      <c r="S66" s="866"/>
      <c r="T66" s="866"/>
      <c r="U66" s="866"/>
      <c r="V66" s="867"/>
    </row>
    <row r="67" spans="1:22" ht="38.25" x14ac:dyDescent="0.25">
      <c r="A67" s="856"/>
      <c r="B67" s="774"/>
      <c r="C67" s="844"/>
      <c r="D67" s="438" t="s">
        <v>404</v>
      </c>
      <c r="E67" s="439" t="s">
        <v>69</v>
      </c>
      <c r="F67" s="440" t="s">
        <v>65</v>
      </c>
      <c r="G67" s="441" t="s">
        <v>366</v>
      </c>
      <c r="H67" s="442" t="s">
        <v>367</v>
      </c>
      <c r="I67" s="443" t="s">
        <v>368</v>
      </c>
      <c r="J67" s="444" t="s">
        <v>5</v>
      </c>
      <c r="K67" s="445" t="s">
        <v>405</v>
      </c>
      <c r="L67" s="446" t="s">
        <v>406</v>
      </c>
      <c r="M67" s="446" t="s">
        <v>407</v>
      </c>
      <c r="N67" s="447" t="s">
        <v>408</v>
      </c>
      <c r="O67" s="438" t="s">
        <v>404</v>
      </c>
      <c r="P67" s="439" t="s">
        <v>69</v>
      </c>
      <c r="Q67" s="440" t="s">
        <v>65</v>
      </c>
      <c r="R67" s="441" t="s">
        <v>366</v>
      </c>
      <c r="S67" s="442" t="s">
        <v>367</v>
      </c>
      <c r="T67" s="448" t="s">
        <v>368</v>
      </c>
      <c r="U67" s="444" t="s">
        <v>409</v>
      </c>
      <c r="V67" s="449" t="s">
        <v>410</v>
      </c>
    </row>
    <row r="68" spans="1:22" ht="14.25" customHeight="1" x14ac:dyDescent="0.25">
      <c r="A68" s="856"/>
      <c r="B68" s="775"/>
      <c r="C68" s="845"/>
      <c r="D68" s="450" t="s">
        <v>13</v>
      </c>
      <c r="E68" s="451" t="s">
        <v>13</v>
      </c>
      <c r="F68" s="452" t="s">
        <v>13</v>
      </c>
      <c r="G68" s="453" t="s">
        <v>13</v>
      </c>
      <c r="H68" s="454" t="s">
        <v>13</v>
      </c>
      <c r="I68" s="455" t="s">
        <v>13</v>
      </c>
      <c r="J68" s="456" t="s">
        <v>13</v>
      </c>
      <c r="K68" s="445"/>
      <c r="L68" s="446"/>
      <c r="M68" s="446"/>
      <c r="N68" s="447"/>
      <c r="O68" s="450" t="s">
        <v>13</v>
      </c>
      <c r="P68" s="451" t="s">
        <v>13</v>
      </c>
      <c r="Q68" s="452" t="s">
        <v>13</v>
      </c>
      <c r="R68" s="453" t="s">
        <v>13</v>
      </c>
      <c r="S68" s="454" t="s">
        <v>13</v>
      </c>
      <c r="T68" s="457" t="s">
        <v>13</v>
      </c>
      <c r="U68" s="456" t="s">
        <v>13</v>
      </c>
      <c r="V68" s="458" t="s">
        <v>11</v>
      </c>
    </row>
    <row r="69" spans="1:22" ht="45.6" customHeight="1" x14ac:dyDescent="0.25">
      <c r="A69" s="856"/>
      <c r="B69" s="459" t="str">
        <f>B50</f>
        <v>Merjeni</v>
      </c>
      <c r="C69" s="460" t="s">
        <v>411</v>
      </c>
      <c r="D69" s="461"/>
      <c r="E69" s="462"/>
      <c r="F69" s="462"/>
      <c r="G69" s="462"/>
      <c r="H69" s="462"/>
      <c r="I69" s="463"/>
      <c r="J69" s="464">
        <f>SUM(D69:I69)</f>
        <v>0</v>
      </c>
      <c r="K69" s="465">
        <v>1</v>
      </c>
      <c r="L69" s="466">
        <v>1</v>
      </c>
      <c r="M69" s="466">
        <v>1</v>
      </c>
      <c r="N69" s="467">
        <f>ROUND(PRODUCT(K69:M69),5)</f>
        <v>1</v>
      </c>
      <c r="O69" s="468">
        <f t="shared" ref="O69:T72" si="0">D69*$N69</f>
        <v>0</v>
      </c>
      <c r="P69" s="468">
        <f t="shared" si="0"/>
        <v>0</v>
      </c>
      <c r="Q69" s="468">
        <f t="shared" si="0"/>
        <v>0</v>
      </c>
      <c r="R69" s="468">
        <f t="shared" si="0"/>
        <v>0</v>
      </c>
      <c r="S69" s="468">
        <f t="shared" si="0"/>
        <v>0</v>
      </c>
      <c r="T69" s="469">
        <f t="shared" si="0"/>
        <v>0</v>
      </c>
      <c r="U69" s="470">
        <f>SUM(O69:T69)</f>
        <v>0</v>
      </c>
      <c r="V69" s="471">
        <f>O69*K$50+P69*M$50+Q69*O$50+R69*Q$50+S69*S$50+T69*U$50</f>
        <v>0</v>
      </c>
    </row>
    <row r="70" spans="1:22" ht="45.6" customHeight="1" x14ac:dyDescent="0.25">
      <c r="A70" s="856"/>
      <c r="B70" s="459" t="str">
        <f>B51</f>
        <v>Merjeni</v>
      </c>
      <c r="C70" s="460" t="s">
        <v>412</v>
      </c>
      <c r="D70" s="461"/>
      <c r="E70" s="462"/>
      <c r="F70" s="462"/>
      <c r="G70" s="462"/>
      <c r="H70" s="462"/>
      <c r="I70" s="463"/>
      <c r="J70" s="464">
        <f>SUM(D70:I70)</f>
        <v>0</v>
      </c>
      <c r="K70" s="472"/>
      <c r="L70" s="466">
        <v>1</v>
      </c>
      <c r="M70" s="466">
        <v>1</v>
      </c>
      <c r="N70" s="467">
        <f>ROUND(PRODUCT(L70:M70),5)</f>
        <v>1</v>
      </c>
      <c r="O70" s="468">
        <f t="shared" si="0"/>
        <v>0</v>
      </c>
      <c r="P70" s="468">
        <f t="shared" si="0"/>
        <v>0</v>
      </c>
      <c r="Q70" s="468">
        <f t="shared" si="0"/>
        <v>0</v>
      </c>
      <c r="R70" s="468">
        <f t="shared" si="0"/>
        <v>0</v>
      </c>
      <c r="S70" s="468">
        <f t="shared" si="0"/>
        <v>0</v>
      </c>
      <c r="T70" s="469">
        <f t="shared" si="0"/>
        <v>0</v>
      </c>
      <c r="U70" s="470">
        <f>SUM(O70:T70)</f>
        <v>0</v>
      </c>
      <c r="V70" s="471">
        <f>O70*K$50+P70*M$50+Q70*O$50+R70*Q$50+S70*S$50+T70*U$50</f>
        <v>0</v>
      </c>
    </row>
    <row r="71" spans="1:22" ht="45.6" customHeight="1" thickBot="1" x14ac:dyDescent="0.3">
      <c r="A71" s="856"/>
      <c r="B71" s="459" t="str">
        <f>B52</f>
        <v>Normirani</v>
      </c>
      <c r="C71" s="473" t="s">
        <v>413</v>
      </c>
      <c r="D71" s="474"/>
      <c r="E71" s="475"/>
      <c r="F71" s="475"/>
      <c r="G71" s="475"/>
      <c r="H71" s="475"/>
      <c r="I71" s="476"/>
      <c r="J71" s="464">
        <f>SUM(D71:I71)</f>
        <v>0</v>
      </c>
      <c r="K71" s="477">
        <v>1</v>
      </c>
      <c r="L71" s="478">
        <v>1</v>
      </c>
      <c r="M71" s="478">
        <v>1</v>
      </c>
      <c r="N71" s="479">
        <f>ROUND(PRODUCT(K71:M71),5)</f>
        <v>1</v>
      </c>
      <c r="O71" s="480">
        <f t="shared" si="0"/>
        <v>0</v>
      </c>
      <c r="P71" s="480">
        <f t="shared" si="0"/>
        <v>0</v>
      </c>
      <c r="Q71" s="480">
        <f t="shared" si="0"/>
        <v>0</v>
      </c>
      <c r="R71" s="480">
        <f t="shared" si="0"/>
        <v>0</v>
      </c>
      <c r="S71" s="480">
        <f t="shared" si="0"/>
        <v>0</v>
      </c>
      <c r="T71" s="481">
        <f t="shared" si="0"/>
        <v>0</v>
      </c>
      <c r="U71" s="470">
        <f>SUM(O71:T71)</f>
        <v>0</v>
      </c>
      <c r="V71" s="482">
        <f>O71*K$50+P71*M$50+Q71*O$50+R71*Q$50+S71*S$50+T71*U$50</f>
        <v>0</v>
      </c>
    </row>
    <row r="72" spans="1:22" ht="34.5" customHeight="1" thickBot="1" x14ac:dyDescent="0.3">
      <c r="A72" s="856"/>
      <c r="B72" s="483"/>
      <c r="C72" s="484" t="s">
        <v>414</v>
      </c>
      <c r="D72" s="485"/>
      <c r="E72" s="486"/>
      <c r="F72" s="486"/>
      <c r="G72" s="486"/>
      <c r="H72" s="486"/>
      <c r="I72" s="487"/>
      <c r="J72" s="488">
        <f>SUM(D72:I72)</f>
        <v>0</v>
      </c>
      <c r="K72" s="489" t="e">
        <f>N23</f>
        <v>#DIV/0!</v>
      </c>
      <c r="L72" s="490">
        <v>1</v>
      </c>
      <c r="M72" s="490">
        <v>1</v>
      </c>
      <c r="N72" s="491" t="e">
        <f>ROUND(PRODUCT(K72:M72),5)</f>
        <v>#DIV/0!</v>
      </c>
      <c r="O72" s="492" t="e">
        <f t="shared" si="0"/>
        <v>#DIV/0!</v>
      </c>
      <c r="P72" s="493" t="e">
        <f>E72*$N72</f>
        <v>#DIV/0!</v>
      </c>
      <c r="Q72" s="493" t="e">
        <f>F72*$N72</f>
        <v>#DIV/0!</v>
      </c>
      <c r="R72" s="493" t="e">
        <f>G72*$N72</f>
        <v>#DIV/0!</v>
      </c>
      <c r="S72" s="493" t="e">
        <f>H72*$N72</f>
        <v>#DIV/0!</v>
      </c>
      <c r="T72" s="494" t="e">
        <f>I72*$N72</f>
        <v>#DIV/0!</v>
      </c>
      <c r="U72" s="495" t="e">
        <f>SUM(O72:T72)</f>
        <v>#DIV/0!</v>
      </c>
      <c r="V72" s="496" t="e">
        <f>O72*K$50+P72*M$50+Q72*O$50+R72*Q$50+S72*S$50+T72*U$50</f>
        <v>#DIV/0!</v>
      </c>
    </row>
    <row r="73" spans="1:22" ht="34.5" customHeight="1" thickBot="1" x14ac:dyDescent="0.3">
      <c r="A73" s="856"/>
      <c r="B73" s="497"/>
      <c r="C73" s="498" t="s">
        <v>415</v>
      </c>
      <c r="D73" s="499">
        <f t="shared" ref="D73:J73" si="1">SUM(D69:D72)</f>
        <v>0</v>
      </c>
      <c r="E73" s="499">
        <f t="shared" si="1"/>
        <v>0</v>
      </c>
      <c r="F73" s="499">
        <f t="shared" si="1"/>
        <v>0</v>
      </c>
      <c r="G73" s="499">
        <f t="shared" si="1"/>
        <v>0</v>
      </c>
      <c r="H73" s="499">
        <f t="shared" si="1"/>
        <v>0</v>
      </c>
      <c r="I73" s="499">
        <f t="shared" si="1"/>
        <v>0</v>
      </c>
      <c r="J73" s="500">
        <f t="shared" si="1"/>
        <v>0</v>
      </c>
      <c r="K73" s="501"/>
      <c r="L73" s="501"/>
      <c r="M73" s="501"/>
      <c r="N73" s="502"/>
      <c r="O73" s="503" t="e">
        <f>SUM(O69:O72)</f>
        <v>#DIV/0!</v>
      </c>
      <c r="P73" s="503" t="e">
        <f t="shared" ref="P73:U73" si="2">SUM(P69:P72)</f>
        <v>#DIV/0!</v>
      </c>
      <c r="Q73" s="503" t="e">
        <f t="shared" si="2"/>
        <v>#DIV/0!</v>
      </c>
      <c r="R73" s="503" t="e">
        <f t="shared" si="2"/>
        <v>#DIV/0!</v>
      </c>
      <c r="S73" s="503" t="e">
        <f t="shared" si="2"/>
        <v>#DIV/0!</v>
      </c>
      <c r="T73" s="503" t="e">
        <f t="shared" si="2"/>
        <v>#DIV/0!</v>
      </c>
      <c r="U73" s="504" t="e">
        <f t="shared" si="2"/>
        <v>#DIV/0!</v>
      </c>
      <c r="V73" s="505" t="e">
        <f>SUM(V69:V72)</f>
        <v>#DIV/0!</v>
      </c>
    </row>
    <row r="74" spans="1:22" ht="19.5" thickBot="1" x14ac:dyDescent="0.3">
      <c r="A74" s="856"/>
      <c r="B74" s="266"/>
      <c r="C74" s="250"/>
      <c r="D74" s="437"/>
      <c r="E74" s="250"/>
      <c r="F74" s="250"/>
      <c r="G74" s="250"/>
      <c r="H74" s="437"/>
      <c r="I74" s="267"/>
      <c r="J74" s="506"/>
      <c r="K74" s="268"/>
      <c r="L74" s="268"/>
      <c r="M74" s="268"/>
      <c r="N74" s="268"/>
      <c r="O74" s="507"/>
      <c r="P74" s="508"/>
      <c r="Q74" s="508"/>
      <c r="R74" s="508"/>
      <c r="S74" s="507"/>
      <c r="T74" s="263"/>
      <c r="U74" s="263"/>
      <c r="V74" s="509"/>
    </row>
    <row r="75" spans="1:22" ht="40.5" customHeight="1" thickBot="1" x14ac:dyDescent="0.3">
      <c r="A75" s="856"/>
      <c r="B75" s="773" t="s">
        <v>396</v>
      </c>
      <c r="C75" s="843" t="s">
        <v>357</v>
      </c>
      <c r="D75" s="846" t="s">
        <v>416</v>
      </c>
      <c r="E75" s="847"/>
      <c r="F75" s="848"/>
      <c r="G75" s="846" t="s">
        <v>417</v>
      </c>
      <c r="H75" s="847"/>
      <c r="I75" s="847"/>
      <c r="J75" s="847"/>
      <c r="K75" s="847"/>
      <c r="L75" s="848"/>
      <c r="M75" s="849" t="s">
        <v>418</v>
      </c>
      <c r="N75" s="849" t="s">
        <v>25</v>
      </c>
      <c r="O75" s="851"/>
      <c r="T75" s="263"/>
      <c r="U75" s="263"/>
      <c r="V75" s="263"/>
    </row>
    <row r="76" spans="1:22" ht="42" x14ac:dyDescent="0.25">
      <c r="A76" s="856"/>
      <c r="B76" s="774"/>
      <c r="C76" s="844"/>
      <c r="D76" s="510" t="s">
        <v>419</v>
      </c>
      <c r="E76" s="511" t="s">
        <v>420</v>
      </c>
      <c r="F76" s="512" t="s">
        <v>421</v>
      </c>
      <c r="G76" s="365" t="s">
        <v>387</v>
      </c>
      <c r="H76" s="366" t="s">
        <v>388</v>
      </c>
      <c r="I76" s="367" t="s">
        <v>386</v>
      </c>
      <c r="J76" s="367" t="s">
        <v>390</v>
      </c>
      <c r="K76" s="367" t="s">
        <v>391</v>
      </c>
      <c r="L76" s="367" t="s">
        <v>392</v>
      </c>
      <c r="M76" s="850"/>
      <c r="N76" s="850"/>
      <c r="O76" s="852"/>
      <c r="T76" s="263"/>
      <c r="U76" s="263"/>
      <c r="V76" s="263"/>
    </row>
    <row r="77" spans="1:22" ht="19.5" thickBot="1" x14ac:dyDescent="0.3">
      <c r="A77" s="856"/>
      <c r="B77" s="775"/>
      <c r="C77" s="845"/>
      <c r="D77" s="513" t="s">
        <v>13</v>
      </c>
      <c r="E77" s="514" t="s">
        <v>11</v>
      </c>
      <c r="F77" s="458" t="s">
        <v>12</v>
      </c>
      <c r="G77" s="515" t="s">
        <v>13</v>
      </c>
      <c r="H77" s="516" t="s">
        <v>13</v>
      </c>
      <c r="I77" s="516" t="s">
        <v>13</v>
      </c>
      <c r="J77" s="372" t="s">
        <v>11</v>
      </c>
      <c r="K77" s="372" t="s">
        <v>11</v>
      </c>
      <c r="L77" s="372" t="s">
        <v>11</v>
      </c>
      <c r="M77" s="372" t="s">
        <v>11</v>
      </c>
      <c r="N77" s="853" t="s">
        <v>11</v>
      </c>
      <c r="O77" s="854"/>
      <c r="T77" s="263"/>
      <c r="U77" s="263"/>
      <c r="V77" s="263"/>
    </row>
    <row r="78" spans="1:22" ht="38.25" customHeight="1" x14ac:dyDescent="0.25">
      <c r="A78" s="856"/>
      <c r="B78" s="459" t="str">
        <f t="shared" ref="B78:C80" si="3">B59</f>
        <v>Merjeni</v>
      </c>
      <c r="C78" s="460" t="str">
        <f t="shared" si="3"/>
        <v>OGREVANJE</v>
      </c>
      <c r="D78" s="517" t="e">
        <f>ROUND(IF(U69=0,D81-D79-D80,U69),1)</f>
        <v>#DIV/0!</v>
      </c>
      <c r="E78" s="518" t="e">
        <f>D78*V73/U73</f>
        <v>#DIV/0!</v>
      </c>
      <c r="F78" s="519">
        <f>ROUND(IFERROR(E78/D78,0),5)</f>
        <v>0</v>
      </c>
      <c r="G78" s="381" t="e">
        <f>G50-D78</f>
        <v>#DIV/0!</v>
      </c>
      <c r="H78" s="520"/>
      <c r="I78" s="383"/>
      <c r="J78" s="521" t="e">
        <f>ROUND(I50-E78,2)</f>
        <v>#DIV/0!</v>
      </c>
      <c r="K78" s="385"/>
      <c r="L78" s="386"/>
      <c r="M78" s="522" t="e">
        <f>SUM(J78:L78)</f>
        <v>#DIV/0!</v>
      </c>
      <c r="N78" s="875" t="e">
        <f>ROUND(M78-S59,2)</f>
        <v>#DIV/0!</v>
      </c>
      <c r="O78" s="876"/>
      <c r="T78" s="263"/>
      <c r="U78" s="263"/>
      <c r="V78" s="263"/>
    </row>
    <row r="79" spans="1:22" ht="38.25" customHeight="1" x14ac:dyDescent="0.25">
      <c r="A79" s="856"/>
      <c r="B79" s="459" t="str">
        <f t="shared" si="3"/>
        <v>Merjeni</v>
      </c>
      <c r="C79" s="460" t="str">
        <f t="shared" si="3"/>
        <v>SANITARNA TOPLA VODA</v>
      </c>
      <c r="D79" s="517" t="e">
        <f>ROUND(IF(U70=0,U73*H60/H62,U70),1)</f>
        <v>#DIV/0!</v>
      </c>
      <c r="E79" s="518" t="e">
        <f>D79*V73/U73</f>
        <v>#DIV/0!</v>
      </c>
      <c r="F79" s="519">
        <f>ROUND(IFERROR(E79/D79,0),5)</f>
        <v>0</v>
      </c>
      <c r="G79" s="523" t="e">
        <f>G51-D79</f>
        <v>#DIV/0!</v>
      </c>
      <c r="H79" s="524"/>
      <c r="I79" s="392"/>
      <c r="J79" s="403" t="e">
        <f>ROUND(I51-E79,2)</f>
        <v>#DIV/0!</v>
      </c>
      <c r="K79" s="394"/>
      <c r="L79" s="395"/>
      <c r="M79" s="522" t="e">
        <f>SUM(J79:L79)</f>
        <v>#DIV/0!</v>
      </c>
      <c r="N79" s="875" t="e">
        <f>ROUND(M79-S60,2)</f>
        <v>#DIV/0!</v>
      </c>
      <c r="O79" s="876"/>
      <c r="T79" s="263"/>
      <c r="U79" s="263"/>
      <c r="V79" s="263"/>
    </row>
    <row r="80" spans="1:22" ht="38.25" customHeight="1" thickBot="1" x14ac:dyDescent="0.3">
      <c r="A80" s="856"/>
      <c r="B80" s="459" t="str">
        <f t="shared" si="3"/>
        <v>Normirani</v>
      </c>
      <c r="C80" s="460" t="str">
        <f t="shared" si="3"/>
        <v>OSTALO - PRISILNO PREZRAČEVANJE</v>
      </c>
      <c r="D80" s="525" t="e">
        <f>H61</f>
        <v>#DIV/0!</v>
      </c>
      <c r="E80" s="526" t="e">
        <f>D80*V73/U73</f>
        <v>#DIV/0!</v>
      </c>
      <c r="F80" s="527">
        <f>ROUND(IFERROR(E80/D80,0),5)</f>
        <v>0</v>
      </c>
      <c r="G80" s="528"/>
      <c r="H80" s="400" t="e">
        <f>N61</f>
        <v>#DIV/0!</v>
      </c>
      <c r="I80" s="402">
        <f>O61</f>
        <v>0</v>
      </c>
      <c r="J80" s="403" t="e">
        <f>P61</f>
        <v>#DIV/0!</v>
      </c>
      <c r="K80" s="404">
        <f>Q61</f>
        <v>0</v>
      </c>
      <c r="L80" s="405">
        <f>R61</f>
        <v>0</v>
      </c>
      <c r="M80" s="522" t="e">
        <f>SUM(J80:L80)</f>
        <v>#DIV/0!</v>
      </c>
      <c r="N80" s="877" t="e">
        <f>ROUND(M80-S61,2)</f>
        <v>#DIV/0!</v>
      </c>
      <c r="O80" s="878"/>
      <c r="T80" s="263"/>
      <c r="U80" s="263"/>
      <c r="V80" s="263"/>
    </row>
    <row r="81" spans="1:22" ht="39" customHeight="1" thickBot="1" x14ac:dyDescent="0.3">
      <c r="A81" s="857"/>
      <c r="B81" s="497"/>
      <c r="C81" s="529" t="s">
        <v>5</v>
      </c>
      <c r="D81" s="530" t="e">
        <f>U73</f>
        <v>#DIV/0!</v>
      </c>
      <c r="E81" s="531" t="e">
        <f>O73*K50+P73*M50+Q73*O50+R73*Q50+S73*S50+T73*U50</f>
        <v>#DIV/0!</v>
      </c>
      <c r="F81" s="532">
        <f>ROUND(IFERROR(E81/D81,0),5)</f>
        <v>0</v>
      </c>
      <c r="G81" s="533" t="e">
        <f t="shared" ref="G81:N81" si="4">SUM(G78:G80)</f>
        <v>#DIV/0!</v>
      </c>
      <c r="H81" s="533" t="e">
        <f t="shared" si="4"/>
        <v>#DIV/0!</v>
      </c>
      <c r="I81" s="534">
        <f t="shared" si="4"/>
        <v>0</v>
      </c>
      <c r="J81" s="413" t="e">
        <f t="shared" si="4"/>
        <v>#DIV/0!</v>
      </c>
      <c r="K81" s="413">
        <f t="shared" si="4"/>
        <v>0</v>
      </c>
      <c r="L81" s="414">
        <f t="shared" si="4"/>
        <v>0</v>
      </c>
      <c r="M81" s="535" t="e">
        <f t="shared" si="4"/>
        <v>#DIV/0!</v>
      </c>
      <c r="N81" s="879" t="e">
        <f t="shared" si="4"/>
        <v>#DIV/0!</v>
      </c>
      <c r="O81" s="880"/>
      <c r="T81" s="263"/>
      <c r="U81" s="263"/>
      <c r="V81" s="263"/>
    </row>
    <row r="82" spans="1:22" ht="18.75" x14ac:dyDescent="0.25">
      <c r="A82" s="265"/>
      <c r="B82" s="266"/>
      <c r="C82" s="250"/>
      <c r="D82" s="250"/>
      <c r="E82" s="250"/>
      <c r="F82" s="250"/>
      <c r="G82" s="250"/>
      <c r="H82" s="250"/>
      <c r="I82" s="267"/>
      <c r="J82" s="268"/>
      <c r="K82" s="268"/>
      <c r="L82" s="268"/>
      <c r="M82" s="268"/>
      <c r="N82" s="268"/>
      <c r="O82" s="250"/>
      <c r="P82" s="250"/>
      <c r="Q82" s="250"/>
      <c r="R82" s="250"/>
      <c r="S82" s="250"/>
      <c r="T82" s="263"/>
      <c r="U82" s="263"/>
      <c r="V82" s="263"/>
    </row>
    <row r="83" spans="1:22" ht="19.5" thickBot="1" x14ac:dyDescent="0.3">
      <c r="A83" s="265"/>
      <c r="B83" s="266"/>
      <c r="C83" s="250"/>
      <c r="D83" s="250"/>
      <c r="E83" s="250"/>
      <c r="F83" s="250"/>
      <c r="G83" s="250"/>
      <c r="H83" s="250"/>
      <c r="I83" s="267"/>
      <c r="J83" s="268"/>
      <c r="K83" s="268"/>
      <c r="L83" s="268"/>
      <c r="M83" s="268"/>
      <c r="N83" s="268"/>
      <c r="O83" s="250"/>
      <c r="P83" s="250"/>
      <c r="Q83" s="250"/>
      <c r="R83" s="250"/>
      <c r="S83" s="250"/>
      <c r="T83" s="263"/>
      <c r="U83" s="263"/>
      <c r="V83" s="263"/>
    </row>
    <row r="84" spans="1:22" ht="30.75" thickBot="1" x14ac:dyDescent="0.3">
      <c r="A84" s="311" t="s">
        <v>422</v>
      </c>
      <c r="B84" s="312"/>
      <c r="C84" s="312"/>
      <c r="D84" s="312"/>
      <c r="E84" s="312"/>
      <c r="F84" s="312"/>
      <c r="G84" s="312"/>
      <c r="H84" s="312"/>
      <c r="I84" s="312"/>
      <c r="J84" s="312"/>
      <c r="K84" s="312"/>
      <c r="L84" s="312"/>
      <c r="M84" s="312"/>
      <c r="N84" s="312"/>
      <c r="O84" s="312"/>
      <c r="P84" s="312"/>
      <c r="Q84" s="312"/>
      <c r="R84" s="312"/>
      <c r="S84" s="312"/>
      <c r="T84" s="312"/>
      <c r="U84" s="312"/>
      <c r="V84" s="313"/>
    </row>
    <row r="85" spans="1:22" ht="19.5" thickBot="1" x14ac:dyDescent="0.3">
      <c r="A85" s="265"/>
      <c r="B85" s="266"/>
      <c r="C85" s="250"/>
      <c r="D85" s="250"/>
      <c r="E85" s="250"/>
      <c r="F85" s="250"/>
      <c r="G85" s="250"/>
      <c r="H85" s="250"/>
      <c r="I85" s="267"/>
      <c r="J85" s="268"/>
      <c r="K85" s="268"/>
      <c r="L85" s="268"/>
      <c r="M85" s="268"/>
      <c r="N85" s="268"/>
      <c r="O85" s="250"/>
      <c r="P85" s="250"/>
      <c r="Q85" s="250"/>
      <c r="R85" s="250"/>
      <c r="S85" s="250"/>
      <c r="T85" s="263"/>
      <c r="U85" s="263"/>
      <c r="V85" s="263"/>
    </row>
    <row r="86" spans="1:22" ht="35.25" customHeight="1" thickBot="1" x14ac:dyDescent="0.3">
      <c r="A86" s="888" t="s">
        <v>354</v>
      </c>
      <c r="B86" s="881" t="s">
        <v>355</v>
      </c>
      <c r="C86" s="882"/>
      <c r="D86" s="882"/>
      <c r="E86" s="882"/>
      <c r="F86" s="882"/>
      <c r="G86" s="882"/>
      <c r="H86" s="859"/>
      <c r="I86" s="859"/>
      <c r="J86" s="859"/>
      <c r="K86" s="859"/>
      <c r="L86" s="859"/>
      <c r="M86" s="859"/>
      <c r="N86" s="859"/>
      <c r="O86" s="859"/>
      <c r="P86" s="859"/>
      <c r="Q86" s="860"/>
      <c r="R86" s="268"/>
      <c r="S86" s="268"/>
      <c r="T86" s="268"/>
      <c r="U86" s="268"/>
      <c r="V86" s="268"/>
    </row>
    <row r="87" spans="1:22" ht="25.5" customHeight="1" thickBot="1" x14ac:dyDescent="0.3">
      <c r="A87" s="889"/>
      <c r="B87" s="773" t="s">
        <v>356</v>
      </c>
      <c r="C87" s="843" t="s">
        <v>423</v>
      </c>
      <c r="D87" s="837" t="s">
        <v>378</v>
      </c>
      <c r="E87" s="773" t="s">
        <v>424</v>
      </c>
      <c r="F87" s="776" t="s">
        <v>425</v>
      </c>
      <c r="G87" s="788" t="s">
        <v>426</v>
      </c>
      <c r="H87" s="846" t="s">
        <v>427</v>
      </c>
      <c r="I87" s="847"/>
      <c r="J87" s="848"/>
      <c r="K87" s="846" t="s">
        <v>378</v>
      </c>
      <c r="L87" s="847"/>
      <c r="M87" s="847"/>
      <c r="N87" s="847"/>
      <c r="O87" s="847"/>
      <c r="P87" s="848"/>
      <c r="Q87" s="536"/>
      <c r="R87" s="268"/>
      <c r="S87" s="268"/>
      <c r="T87" s="268"/>
      <c r="U87" s="268"/>
      <c r="V87" s="268"/>
    </row>
    <row r="88" spans="1:22" ht="38.25" x14ac:dyDescent="0.25">
      <c r="A88" s="889"/>
      <c r="B88" s="775"/>
      <c r="C88" s="845"/>
      <c r="D88" s="839"/>
      <c r="E88" s="775"/>
      <c r="F88" s="778"/>
      <c r="G88" s="790"/>
      <c r="H88" s="537" t="s">
        <v>428</v>
      </c>
      <c r="I88" s="367" t="s">
        <v>429</v>
      </c>
      <c r="J88" s="368" t="s">
        <v>430</v>
      </c>
      <c r="K88" s="365" t="s">
        <v>431</v>
      </c>
      <c r="L88" s="366" t="s">
        <v>432</v>
      </c>
      <c r="M88" s="367" t="s">
        <v>389</v>
      </c>
      <c r="N88" s="365" t="s">
        <v>390</v>
      </c>
      <c r="O88" s="366" t="s">
        <v>391</v>
      </c>
      <c r="P88" s="369" t="s">
        <v>392</v>
      </c>
      <c r="Q88" s="370" t="s">
        <v>393</v>
      </c>
      <c r="R88" s="538"/>
      <c r="S88" s="538"/>
      <c r="T88" s="538"/>
      <c r="U88" s="538"/>
      <c r="V88" s="538"/>
    </row>
    <row r="89" spans="1:22" ht="21.75" customHeight="1" thickBot="1" x14ac:dyDescent="0.3">
      <c r="A89" s="889"/>
      <c r="B89" s="418"/>
      <c r="C89" s="539"/>
      <c r="D89" s="540"/>
      <c r="E89" s="541" t="s">
        <v>13</v>
      </c>
      <c r="F89" s="542" t="s">
        <v>372</v>
      </c>
      <c r="G89" s="543" t="s">
        <v>11</v>
      </c>
      <c r="H89" s="544" t="s">
        <v>13</v>
      </c>
      <c r="I89" s="372" t="s">
        <v>12</v>
      </c>
      <c r="J89" s="373" t="s">
        <v>11</v>
      </c>
      <c r="K89" s="374" t="s">
        <v>13</v>
      </c>
      <c r="L89" s="371" t="s">
        <v>13</v>
      </c>
      <c r="M89" s="372" t="s">
        <v>13</v>
      </c>
      <c r="N89" s="375" t="s">
        <v>11</v>
      </c>
      <c r="O89" s="333" t="s">
        <v>11</v>
      </c>
      <c r="P89" s="376" t="s">
        <v>11</v>
      </c>
      <c r="Q89" s="377" t="s">
        <v>11</v>
      </c>
      <c r="R89" s="538"/>
      <c r="S89" s="538"/>
      <c r="T89" s="538"/>
      <c r="U89" s="538"/>
      <c r="V89" s="538"/>
    </row>
    <row r="90" spans="1:22" ht="33" customHeight="1" x14ac:dyDescent="0.25">
      <c r="A90" s="889"/>
      <c r="B90" s="545" t="s">
        <v>376</v>
      </c>
      <c r="C90" s="546" t="s">
        <v>433</v>
      </c>
      <c r="D90" s="547" t="s">
        <v>434</v>
      </c>
      <c r="E90" s="548"/>
      <c r="F90" s="782"/>
      <c r="G90" s="549">
        <f>E90*F90</f>
        <v>0</v>
      </c>
      <c r="H90" s="378"/>
      <c r="I90" s="782"/>
      <c r="J90" s="380">
        <f>H90*I90</f>
        <v>0</v>
      </c>
      <c r="K90" s="550">
        <v>0</v>
      </c>
      <c r="L90" s="551">
        <f>IF(D90="DA",E90-H90,0)</f>
        <v>0</v>
      </c>
      <c r="M90" s="552"/>
      <c r="N90" s="553">
        <f>IF(D90="DA",H90*(F90-I90),0)</f>
        <v>0</v>
      </c>
      <c r="O90" s="554">
        <f>IF(D90="DA",L90*F90,0)</f>
        <v>0</v>
      </c>
      <c r="P90" s="555">
        <f>IF(D90="DA",M90*F90,0)</f>
        <v>0</v>
      </c>
      <c r="Q90" s="387">
        <f>SUM(N90:P90)</f>
        <v>0</v>
      </c>
      <c r="R90" s="257"/>
      <c r="S90" s="257"/>
      <c r="T90" s="257"/>
      <c r="U90" s="257"/>
      <c r="V90" s="257"/>
    </row>
    <row r="91" spans="1:22" ht="33" customHeight="1" thickBot="1" x14ac:dyDescent="0.3">
      <c r="A91" s="889"/>
      <c r="B91" s="556" t="s">
        <v>373</v>
      </c>
      <c r="C91" s="557" t="s">
        <v>435</v>
      </c>
      <c r="D91" s="558" t="s">
        <v>436</v>
      </c>
      <c r="E91" s="351"/>
      <c r="F91" s="784"/>
      <c r="G91" s="353">
        <f>E91*F90</f>
        <v>0</v>
      </c>
      <c r="H91" s="378"/>
      <c r="I91" s="874"/>
      <c r="J91" s="389">
        <f>H91*I90</f>
        <v>0</v>
      </c>
      <c r="K91" s="550">
        <f>IF(D91="DA",E91-H91,0)</f>
        <v>0</v>
      </c>
      <c r="L91" s="391"/>
      <c r="M91" s="392"/>
      <c r="N91" s="559">
        <f>IF(D91="DA",G91-J91,0)</f>
        <v>0</v>
      </c>
      <c r="O91" s="560"/>
      <c r="P91" s="561"/>
      <c r="Q91" s="396">
        <f>SUM(N91:P91)</f>
        <v>0</v>
      </c>
      <c r="R91" s="257"/>
      <c r="S91" s="257"/>
      <c r="T91" s="257"/>
      <c r="U91" s="257"/>
      <c r="V91" s="257"/>
    </row>
    <row r="92" spans="1:22" ht="33" customHeight="1" thickBot="1" x14ac:dyDescent="0.3">
      <c r="A92" s="890"/>
      <c r="B92" s="885" t="s">
        <v>5</v>
      </c>
      <c r="C92" s="886"/>
      <c r="D92" s="887"/>
      <c r="E92" s="354">
        <f>SUM(E90:E91)</f>
        <v>0</v>
      </c>
      <c r="F92" s="355"/>
      <c r="G92" s="358">
        <f>SUM(G90:G91)</f>
        <v>0</v>
      </c>
      <c r="H92" s="408">
        <v>138260</v>
      </c>
      <c r="I92" s="562"/>
      <c r="J92" s="563">
        <f t="shared" ref="J92:Q92" si="5">SUM(J90:J91)</f>
        <v>0</v>
      </c>
      <c r="K92" s="564">
        <f t="shared" si="5"/>
        <v>0</v>
      </c>
      <c r="L92" s="435">
        <f t="shared" si="5"/>
        <v>0</v>
      </c>
      <c r="M92" s="435">
        <f t="shared" si="5"/>
        <v>0</v>
      </c>
      <c r="N92" s="565">
        <f t="shared" si="5"/>
        <v>0</v>
      </c>
      <c r="O92" s="565">
        <f t="shared" si="5"/>
        <v>0</v>
      </c>
      <c r="P92" s="566">
        <f t="shared" si="5"/>
        <v>0</v>
      </c>
      <c r="Q92" s="415">
        <f t="shared" si="5"/>
        <v>0</v>
      </c>
      <c r="R92" s="268"/>
      <c r="S92" s="268"/>
      <c r="T92" s="268"/>
      <c r="U92" s="268"/>
      <c r="V92" s="268"/>
    </row>
    <row r="93" spans="1:22" ht="15.75" thickBot="1" x14ac:dyDescent="0.3"/>
    <row r="94" spans="1:22" ht="19.5" thickBot="1" x14ac:dyDescent="0.3">
      <c r="A94" s="888" t="s">
        <v>394</v>
      </c>
      <c r="B94" s="858" t="s">
        <v>395</v>
      </c>
      <c r="C94" s="859"/>
      <c r="D94" s="859"/>
      <c r="E94" s="859"/>
      <c r="F94" s="859"/>
      <c r="G94" s="859"/>
      <c r="H94" s="859"/>
      <c r="I94" s="859"/>
      <c r="J94" s="859"/>
      <c r="K94" s="859"/>
      <c r="L94" s="859"/>
      <c r="M94" s="859"/>
      <c r="N94" s="859"/>
      <c r="O94" s="859"/>
      <c r="P94" s="859"/>
      <c r="Q94" s="860"/>
    </row>
    <row r="95" spans="1:22" ht="28.5" customHeight="1" thickBot="1" x14ac:dyDescent="0.3">
      <c r="A95" s="889"/>
      <c r="B95" s="773" t="s">
        <v>356</v>
      </c>
      <c r="C95" s="843" t="s">
        <v>423</v>
      </c>
      <c r="D95" s="837" t="s">
        <v>397</v>
      </c>
      <c r="E95" s="773" t="s">
        <v>424</v>
      </c>
      <c r="F95" s="776" t="s">
        <v>425</v>
      </c>
      <c r="G95" s="788" t="s">
        <v>426</v>
      </c>
      <c r="H95" s="846" t="s">
        <v>427</v>
      </c>
      <c r="I95" s="847"/>
      <c r="J95" s="848"/>
      <c r="K95" s="846" t="s">
        <v>378</v>
      </c>
      <c r="L95" s="847"/>
      <c r="M95" s="847"/>
      <c r="N95" s="847"/>
      <c r="O95" s="847"/>
      <c r="P95" s="848"/>
      <c r="Q95" s="536"/>
    </row>
    <row r="96" spans="1:22" ht="38.25" x14ac:dyDescent="0.25">
      <c r="A96" s="889"/>
      <c r="B96" s="775"/>
      <c r="C96" s="845"/>
      <c r="D96" s="839"/>
      <c r="E96" s="775"/>
      <c r="F96" s="778"/>
      <c r="G96" s="790"/>
      <c r="H96" s="537" t="s">
        <v>428</v>
      </c>
      <c r="I96" s="367" t="s">
        <v>429</v>
      </c>
      <c r="J96" s="368" t="s">
        <v>430</v>
      </c>
      <c r="K96" s="365" t="s">
        <v>431</v>
      </c>
      <c r="L96" s="366" t="s">
        <v>432</v>
      </c>
      <c r="M96" s="367" t="s">
        <v>437</v>
      </c>
      <c r="N96" s="365" t="s">
        <v>390</v>
      </c>
      <c r="O96" s="366" t="s">
        <v>391</v>
      </c>
      <c r="P96" s="369" t="s">
        <v>392</v>
      </c>
      <c r="Q96" s="370" t="s">
        <v>393</v>
      </c>
    </row>
    <row r="97" spans="1:22" ht="15.75" thickBot="1" x14ac:dyDescent="0.3">
      <c r="A97" s="889"/>
      <c r="B97" s="418"/>
      <c r="C97" s="567"/>
      <c r="D97" s="568"/>
      <c r="E97" s="541" t="s">
        <v>13</v>
      </c>
      <c r="F97" s="542" t="s">
        <v>372</v>
      </c>
      <c r="G97" s="543" t="s">
        <v>11</v>
      </c>
      <c r="H97" s="544" t="s">
        <v>13</v>
      </c>
      <c r="I97" s="372" t="s">
        <v>12</v>
      </c>
      <c r="J97" s="373" t="s">
        <v>11</v>
      </c>
      <c r="K97" s="374" t="s">
        <v>13</v>
      </c>
      <c r="L97" s="371" t="s">
        <v>13</v>
      </c>
      <c r="M97" s="372" t="s">
        <v>13</v>
      </c>
      <c r="N97" s="375" t="s">
        <v>11</v>
      </c>
      <c r="O97" s="333" t="s">
        <v>11</v>
      </c>
      <c r="P97" s="376" t="s">
        <v>11</v>
      </c>
      <c r="Q97" s="377" t="s">
        <v>11</v>
      </c>
    </row>
    <row r="98" spans="1:22" ht="27" customHeight="1" x14ac:dyDescent="0.25">
      <c r="A98" s="889"/>
      <c r="B98" s="545" t="s">
        <v>376</v>
      </c>
      <c r="C98" s="569" t="s">
        <v>433</v>
      </c>
      <c r="D98" s="570">
        <v>1</v>
      </c>
      <c r="E98" s="571">
        <f>IF(D90="DA",D98*E90,0)</f>
        <v>0</v>
      </c>
      <c r="F98" s="828">
        <f>F90</f>
        <v>0</v>
      </c>
      <c r="G98" s="549">
        <f>E98*F98</f>
        <v>0</v>
      </c>
      <c r="H98" s="346">
        <f>IF(D90="DA",ROUND(H90*D98,0),0)</f>
        <v>0</v>
      </c>
      <c r="I98" s="828">
        <f>I90</f>
        <v>0</v>
      </c>
      <c r="J98" s="380">
        <f>H98*I98</f>
        <v>0</v>
      </c>
      <c r="K98" s="550">
        <v>0</v>
      </c>
      <c r="L98" s="551">
        <f>E98-H98</f>
        <v>0</v>
      </c>
      <c r="M98" s="572">
        <f>M90*D98</f>
        <v>0</v>
      </c>
      <c r="N98" s="553">
        <f>H98*(F98-I98)</f>
        <v>0</v>
      </c>
      <c r="O98" s="554">
        <f>L98*F98</f>
        <v>0</v>
      </c>
      <c r="P98" s="555">
        <f>M98*F98</f>
        <v>0</v>
      </c>
      <c r="Q98" s="387">
        <f>SUM(N98:P98)</f>
        <v>0</v>
      </c>
    </row>
    <row r="99" spans="1:22" ht="27" customHeight="1" thickBot="1" x14ac:dyDescent="0.3">
      <c r="A99" s="889"/>
      <c r="B99" s="556" t="s">
        <v>373</v>
      </c>
      <c r="C99" s="573" t="s">
        <v>435</v>
      </c>
      <c r="D99" s="574">
        <v>1</v>
      </c>
      <c r="E99" s="575">
        <f>IF(D91="DA",D99*E91,0)</f>
        <v>0</v>
      </c>
      <c r="F99" s="830"/>
      <c r="G99" s="353">
        <f>E99*F98</f>
        <v>0</v>
      </c>
      <c r="H99" s="349">
        <f>IF(D91="DA",ROUND(H91*D99,0),0)</f>
        <v>0</v>
      </c>
      <c r="I99" s="897"/>
      <c r="J99" s="389">
        <f>H99*I98</f>
        <v>0</v>
      </c>
      <c r="K99" s="550">
        <f>E99-H99</f>
        <v>0</v>
      </c>
      <c r="L99" s="391"/>
      <c r="M99" s="392"/>
      <c r="N99" s="559">
        <f>G99-J99</f>
        <v>0</v>
      </c>
      <c r="O99" s="560"/>
      <c r="P99" s="561"/>
      <c r="Q99" s="396">
        <f>SUM(N99:P99)</f>
        <v>0</v>
      </c>
    </row>
    <row r="100" spans="1:22" ht="27" customHeight="1" thickBot="1" x14ac:dyDescent="0.3">
      <c r="A100" s="890"/>
      <c r="B100" s="885" t="s">
        <v>5</v>
      </c>
      <c r="C100" s="886"/>
      <c r="D100" s="887"/>
      <c r="E100" s="354">
        <f>SUM(E98:E99)</f>
        <v>0</v>
      </c>
      <c r="F100" s="355"/>
      <c r="G100" s="358">
        <f>SUM(G98:G99)</f>
        <v>0</v>
      </c>
      <c r="H100" s="408">
        <f>SUM(H98:H99)</f>
        <v>0</v>
      </c>
      <c r="I100" s="562"/>
      <c r="J100" s="563">
        <f t="shared" ref="J100:Q100" si="6">SUM(J98:J99)</f>
        <v>0</v>
      </c>
      <c r="K100" s="564">
        <f t="shared" si="6"/>
        <v>0</v>
      </c>
      <c r="L100" s="435">
        <f t="shared" si="6"/>
        <v>0</v>
      </c>
      <c r="M100" s="435">
        <f t="shared" si="6"/>
        <v>0</v>
      </c>
      <c r="N100" s="565">
        <f t="shared" si="6"/>
        <v>0</v>
      </c>
      <c r="O100" s="565">
        <f t="shared" si="6"/>
        <v>0</v>
      </c>
      <c r="P100" s="566">
        <f t="shared" si="6"/>
        <v>0</v>
      </c>
      <c r="Q100" s="415">
        <f t="shared" si="6"/>
        <v>0</v>
      </c>
    </row>
    <row r="101" spans="1:22" ht="15.75" thickBot="1" x14ac:dyDescent="0.3"/>
    <row r="102" spans="1:22" ht="19.5" thickBot="1" x14ac:dyDescent="0.3">
      <c r="A102" s="888" t="s">
        <v>399</v>
      </c>
      <c r="B102" s="858" t="s">
        <v>400</v>
      </c>
      <c r="C102" s="859"/>
      <c r="D102" s="859"/>
      <c r="E102" s="859"/>
      <c r="F102" s="859"/>
      <c r="G102" s="859"/>
      <c r="H102" s="859"/>
      <c r="I102" s="859"/>
      <c r="J102" s="859"/>
      <c r="K102" s="859"/>
      <c r="L102" s="859"/>
      <c r="M102" s="859"/>
      <c r="N102" s="859"/>
      <c r="O102" s="859"/>
      <c r="P102" s="859"/>
      <c r="Q102" s="859"/>
      <c r="R102" s="859"/>
      <c r="S102" s="859"/>
      <c r="T102" s="859"/>
      <c r="U102" s="859"/>
      <c r="V102" s="860"/>
    </row>
    <row r="103" spans="1:22" ht="15" customHeight="1" thickBot="1" x14ac:dyDescent="0.3">
      <c r="A103" s="889"/>
      <c r="B103" s="773" t="s">
        <v>356</v>
      </c>
      <c r="C103" s="843" t="s">
        <v>423</v>
      </c>
      <c r="D103" s="837" t="s">
        <v>378</v>
      </c>
      <c r="E103" s="846" t="s">
        <v>438</v>
      </c>
      <c r="F103" s="847"/>
      <c r="G103" s="847"/>
      <c r="H103" s="847"/>
      <c r="I103" s="846" t="s">
        <v>439</v>
      </c>
      <c r="J103" s="847"/>
      <c r="K103" s="847"/>
      <c r="L103" s="846" t="s">
        <v>416</v>
      </c>
      <c r="M103" s="848"/>
      <c r="N103" s="846" t="s">
        <v>417</v>
      </c>
      <c r="O103" s="847"/>
      <c r="P103" s="847"/>
      <c r="Q103" s="847"/>
      <c r="R103" s="847"/>
      <c r="S103" s="848"/>
      <c r="T103" s="891" t="s">
        <v>440</v>
      </c>
      <c r="U103" s="849" t="s">
        <v>25</v>
      </c>
      <c r="V103" s="851"/>
    </row>
    <row r="104" spans="1:22" ht="69" customHeight="1" x14ac:dyDescent="0.25">
      <c r="A104" s="889"/>
      <c r="B104" s="775"/>
      <c r="C104" s="845"/>
      <c r="D104" s="839"/>
      <c r="E104" s="537" t="s">
        <v>441</v>
      </c>
      <c r="F104" s="537" t="s">
        <v>442</v>
      </c>
      <c r="G104" s="537" t="s">
        <v>443</v>
      </c>
      <c r="H104" s="368" t="s">
        <v>429</v>
      </c>
      <c r="I104" s="365" t="s">
        <v>444</v>
      </c>
      <c r="J104" s="365" t="s">
        <v>445</v>
      </c>
      <c r="K104" s="365" t="s">
        <v>446</v>
      </c>
      <c r="L104" s="365" t="s">
        <v>447</v>
      </c>
      <c r="M104" s="365" t="s">
        <v>448</v>
      </c>
      <c r="N104" s="365" t="s">
        <v>431</v>
      </c>
      <c r="O104" s="366" t="s">
        <v>432</v>
      </c>
      <c r="P104" s="367" t="s">
        <v>449</v>
      </c>
      <c r="Q104" s="365" t="s">
        <v>390</v>
      </c>
      <c r="R104" s="366" t="s">
        <v>391</v>
      </c>
      <c r="S104" s="369" t="s">
        <v>392</v>
      </c>
      <c r="T104" s="892"/>
      <c r="U104" s="850"/>
      <c r="V104" s="852"/>
    </row>
    <row r="105" spans="1:22" ht="15.75" thickBot="1" x14ac:dyDescent="0.3">
      <c r="A105" s="889"/>
      <c r="B105" s="418"/>
      <c r="C105" s="567"/>
      <c r="D105" s="540"/>
      <c r="E105" s="544" t="s">
        <v>13</v>
      </c>
      <c r="F105" s="544" t="s">
        <v>13</v>
      </c>
      <c r="G105" s="544" t="s">
        <v>13</v>
      </c>
      <c r="H105" s="576" t="s">
        <v>12</v>
      </c>
      <c r="I105" s="374"/>
      <c r="J105" s="333" t="s">
        <v>13</v>
      </c>
      <c r="K105" s="544" t="s">
        <v>11</v>
      </c>
      <c r="L105" s="544" t="s">
        <v>13</v>
      </c>
      <c r="M105" s="544" t="s">
        <v>11</v>
      </c>
      <c r="N105" s="374" t="s">
        <v>13</v>
      </c>
      <c r="O105" s="371" t="s">
        <v>13</v>
      </c>
      <c r="P105" s="372" t="s">
        <v>13</v>
      </c>
      <c r="Q105" s="375" t="s">
        <v>11</v>
      </c>
      <c r="R105" s="333" t="s">
        <v>11</v>
      </c>
      <c r="S105" s="376" t="s">
        <v>11</v>
      </c>
      <c r="T105" s="577" t="s">
        <v>11</v>
      </c>
      <c r="U105" s="853" t="s">
        <v>11</v>
      </c>
      <c r="V105" s="854"/>
    </row>
    <row r="106" spans="1:22" ht="33" customHeight="1" x14ac:dyDescent="0.25">
      <c r="A106" s="889"/>
      <c r="B106" s="545" t="s">
        <v>376</v>
      </c>
      <c r="C106" s="569" t="s">
        <v>433</v>
      </c>
      <c r="D106" s="578" t="str">
        <f>D90</f>
        <v>DA</v>
      </c>
      <c r="E106" s="902"/>
      <c r="F106" s="902"/>
      <c r="G106" s="904">
        <f>E106-F106</f>
        <v>0</v>
      </c>
      <c r="H106" s="828">
        <f>I98</f>
        <v>0</v>
      </c>
      <c r="I106" s="906">
        <v>1</v>
      </c>
      <c r="J106" s="904">
        <f>G106*I106</f>
        <v>0</v>
      </c>
      <c r="K106" s="883">
        <f>J106*H106</f>
        <v>0</v>
      </c>
      <c r="L106" s="579">
        <f>H98</f>
        <v>0</v>
      </c>
      <c r="M106" s="380">
        <f>L106*H106</f>
        <v>0</v>
      </c>
      <c r="N106" s="550">
        <v>0</v>
      </c>
      <c r="O106" s="579">
        <f>IF(D106="DA",L98,0)</f>
        <v>0</v>
      </c>
      <c r="P106" s="580">
        <f>IF(D106="DA",M98,0)</f>
        <v>0</v>
      </c>
      <c r="Q106" s="553">
        <f>IF(D106="DA",L106*(F98-H106),0)</f>
        <v>0</v>
      </c>
      <c r="R106" s="554">
        <f>O106*F98</f>
        <v>0</v>
      </c>
      <c r="S106" s="555">
        <f>P106*F98</f>
        <v>0</v>
      </c>
      <c r="T106" s="387">
        <f>SUM(Q106:S106)</f>
        <v>0</v>
      </c>
      <c r="U106" s="893">
        <f>T106-Q98</f>
        <v>0</v>
      </c>
      <c r="V106" s="894"/>
    </row>
    <row r="107" spans="1:22" ht="33" customHeight="1" thickBot="1" x14ac:dyDescent="0.3">
      <c r="A107" s="889"/>
      <c r="B107" s="556" t="s">
        <v>373</v>
      </c>
      <c r="C107" s="573" t="s">
        <v>435</v>
      </c>
      <c r="D107" s="581" t="str">
        <f>D91</f>
        <v>NE</v>
      </c>
      <c r="E107" s="903"/>
      <c r="F107" s="903"/>
      <c r="G107" s="905"/>
      <c r="H107" s="897"/>
      <c r="I107" s="907"/>
      <c r="J107" s="905"/>
      <c r="K107" s="884"/>
      <c r="L107" s="582">
        <f>J106-L106</f>
        <v>0</v>
      </c>
      <c r="M107" s="380">
        <f>L107*H106</f>
        <v>0</v>
      </c>
      <c r="N107" s="550">
        <f>IF(D107="DA",E99-L107,0)</f>
        <v>0</v>
      </c>
      <c r="O107" s="583"/>
      <c r="P107" s="584"/>
      <c r="Q107" s="559">
        <f>IF(D107="DA",G99-M107,0)</f>
        <v>0</v>
      </c>
      <c r="R107" s="560"/>
      <c r="S107" s="561"/>
      <c r="T107" s="585">
        <f>SUM(Q107:S107)</f>
        <v>0</v>
      </c>
      <c r="U107" s="895">
        <f>T107-Q99</f>
        <v>0</v>
      </c>
      <c r="V107" s="896"/>
    </row>
    <row r="108" spans="1:22" ht="33" customHeight="1" thickBot="1" x14ac:dyDescent="0.3">
      <c r="A108" s="890"/>
      <c r="B108" s="885" t="s">
        <v>5</v>
      </c>
      <c r="C108" s="886"/>
      <c r="D108" s="887"/>
      <c r="E108" s="586"/>
      <c r="F108" s="587"/>
      <c r="G108" s="587"/>
      <c r="H108" s="587"/>
      <c r="I108" s="587"/>
      <c r="J108" s="587"/>
      <c r="K108" s="587"/>
      <c r="L108" s="307">
        <f t="shared" ref="L108:T108" si="7">SUM(L106:L107)</f>
        <v>0</v>
      </c>
      <c r="M108" s="565">
        <f t="shared" si="7"/>
        <v>0</v>
      </c>
      <c r="N108" s="564">
        <f t="shared" si="7"/>
        <v>0</v>
      </c>
      <c r="O108" s="307">
        <f t="shared" si="7"/>
        <v>0</v>
      </c>
      <c r="P108" s="307">
        <f t="shared" si="7"/>
        <v>0</v>
      </c>
      <c r="Q108" s="565">
        <f t="shared" si="7"/>
        <v>0</v>
      </c>
      <c r="R108" s="565">
        <f t="shared" si="7"/>
        <v>0</v>
      </c>
      <c r="S108" s="566">
        <f t="shared" si="7"/>
        <v>0</v>
      </c>
      <c r="T108" s="415">
        <f t="shared" si="7"/>
        <v>0</v>
      </c>
      <c r="U108" s="879">
        <f>SUM(U106:U107)</f>
        <v>0</v>
      </c>
      <c r="V108" s="880"/>
    </row>
    <row r="110" spans="1:22" ht="19.5" thickBot="1" x14ac:dyDescent="0.3">
      <c r="A110" s="265"/>
      <c r="B110" s="266"/>
      <c r="C110" s="250"/>
      <c r="D110" s="250"/>
      <c r="E110" s="250"/>
      <c r="F110" s="250"/>
      <c r="G110" s="250"/>
      <c r="H110" s="250"/>
      <c r="I110" s="267"/>
      <c r="J110" s="268"/>
      <c r="K110" s="268"/>
      <c r="L110" s="268"/>
      <c r="M110" s="268"/>
      <c r="N110" s="268"/>
      <c r="O110" s="250"/>
      <c r="P110" s="250"/>
      <c r="Q110" s="250"/>
      <c r="R110" s="250"/>
      <c r="S110" s="250"/>
      <c r="T110" s="263"/>
      <c r="U110" s="263"/>
      <c r="V110" s="263"/>
    </row>
    <row r="111" spans="1:22" ht="30.75" thickBot="1" x14ac:dyDescent="0.3">
      <c r="A111" s="588" t="s">
        <v>450</v>
      </c>
      <c r="B111" s="589"/>
      <c r="C111" s="589"/>
      <c r="D111" s="589"/>
      <c r="E111" s="589"/>
      <c r="F111" s="589"/>
      <c r="G111" s="589"/>
      <c r="H111" s="589"/>
      <c r="I111" s="589"/>
      <c r="J111" s="589"/>
      <c r="K111" s="589"/>
      <c r="L111" s="589"/>
      <c r="M111" s="589"/>
      <c r="N111" s="589"/>
      <c r="O111" s="589"/>
      <c r="P111" s="589"/>
      <c r="Q111" s="589"/>
      <c r="R111" s="589"/>
      <c r="S111" s="589"/>
      <c r="T111" s="589"/>
      <c r="U111" s="589"/>
      <c r="V111" s="590"/>
    </row>
    <row r="112" spans="1:22" ht="15.75" x14ac:dyDescent="0.25">
      <c r="A112" s="253"/>
      <c r="B112" s="248"/>
      <c r="C112" s="248"/>
      <c r="D112" s="248"/>
      <c r="E112" s="248"/>
      <c r="F112" s="248"/>
      <c r="G112" s="248"/>
      <c r="H112" s="248"/>
      <c r="I112" s="248"/>
      <c r="J112" s="249"/>
      <c r="K112" s="249"/>
      <c r="L112" s="249"/>
      <c r="M112" s="249"/>
      <c r="N112" s="249"/>
      <c r="O112" s="249"/>
      <c r="P112" s="249"/>
      <c r="Q112" s="249"/>
      <c r="R112" s="249"/>
      <c r="S112" s="249"/>
      <c r="T112" s="249"/>
      <c r="U112" s="249"/>
      <c r="V112" s="249"/>
    </row>
    <row r="113" spans="1:22" ht="16.5" thickBot="1" x14ac:dyDescent="0.3">
      <c r="A113" s="253"/>
      <c r="B113" s="248"/>
      <c r="C113" s="248"/>
      <c r="D113" s="248"/>
      <c r="E113" s="248"/>
      <c r="F113" s="248"/>
      <c r="G113" s="248"/>
      <c r="H113" s="248"/>
      <c r="I113" s="248"/>
      <c r="J113" s="249"/>
      <c r="K113" s="249"/>
      <c r="L113" s="249"/>
      <c r="M113" s="249"/>
      <c r="N113" s="249"/>
      <c r="O113" s="249"/>
      <c r="P113" s="249"/>
      <c r="Q113" s="249"/>
      <c r="R113" s="249"/>
      <c r="S113" s="249"/>
      <c r="T113" s="249"/>
      <c r="U113" s="249"/>
      <c r="V113" s="249"/>
    </row>
    <row r="114" spans="1:22" ht="35.25" customHeight="1" thickBot="1" x14ac:dyDescent="0.3">
      <c r="A114" s="888" t="s">
        <v>354</v>
      </c>
      <c r="B114" s="898" t="s">
        <v>355</v>
      </c>
      <c r="C114" s="899"/>
      <c r="D114" s="900"/>
      <c r="E114" s="901"/>
      <c r="F114" s="268"/>
      <c r="G114" s="888" t="s">
        <v>394</v>
      </c>
      <c r="H114" s="900" t="s">
        <v>395</v>
      </c>
      <c r="I114" s="900"/>
      <c r="J114" s="900"/>
      <c r="K114" s="900"/>
      <c r="L114" s="901"/>
      <c r="M114" s="268"/>
      <c r="N114" s="888" t="s">
        <v>399</v>
      </c>
      <c r="O114" s="900" t="s">
        <v>400</v>
      </c>
      <c r="P114" s="900"/>
      <c r="Q114" s="900"/>
      <c r="R114" s="901"/>
      <c r="S114" s="268"/>
      <c r="T114" s="268"/>
      <c r="U114" s="268"/>
      <c r="V114" s="268"/>
    </row>
    <row r="115" spans="1:22" ht="66" customHeight="1" x14ac:dyDescent="0.25">
      <c r="A115" s="889"/>
      <c r="B115" s="773" t="s">
        <v>451</v>
      </c>
      <c r="C115" s="591" t="s">
        <v>452</v>
      </c>
      <c r="D115" s="512" t="s">
        <v>453</v>
      </c>
      <c r="E115" s="591" t="s">
        <v>60</v>
      </c>
      <c r="F115" s="268"/>
      <c r="G115" s="889"/>
      <c r="H115" s="773" t="s">
        <v>451</v>
      </c>
      <c r="I115" s="776" t="s">
        <v>397</v>
      </c>
      <c r="J115" s="591" t="s">
        <v>452</v>
      </c>
      <c r="K115" s="512" t="s">
        <v>453</v>
      </c>
      <c r="L115" s="591" t="s">
        <v>60</v>
      </c>
      <c r="M115" s="268"/>
      <c r="N115" s="889"/>
      <c r="O115" s="773" t="s">
        <v>451</v>
      </c>
      <c r="P115" s="591" t="s">
        <v>452</v>
      </c>
      <c r="Q115" s="512" t="s">
        <v>453</v>
      </c>
      <c r="R115" s="591" t="s">
        <v>454</v>
      </c>
      <c r="S115" s="268"/>
      <c r="T115" s="268"/>
      <c r="U115" s="268"/>
      <c r="V115" s="268"/>
    </row>
    <row r="116" spans="1:22" ht="21.75" customHeight="1" thickBot="1" x14ac:dyDescent="0.3">
      <c r="A116" s="889"/>
      <c r="B116" s="908"/>
      <c r="C116" s="543" t="s">
        <v>11</v>
      </c>
      <c r="D116" s="373" t="s">
        <v>11</v>
      </c>
      <c r="E116" s="592" t="s">
        <v>11</v>
      </c>
      <c r="F116" s="538"/>
      <c r="G116" s="889"/>
      <c r="H116" s="908"/>
      <c r="I116" s="909"/>
      <c r="J116" s="543" t="s">
        <v>11</v>
      </c>
      <c r="K116" s="373" t="s">
        <v>11</v>
      </c>
      <c r="L116" s="592" t="s">
        <v>11</v>
      </c>
      <c r="M116" s="538"/>
      <c r="N116" s="889"/>
      <c r="O116" s="908"/>
      <c r="P116" s="543" t="s">
        <v>11</v>
      </c>
      <c r="Q116" s="373" t="s">
        <v>11</v>
      </c>
      <c r="R116" s="592" t="s">
        <v>11</v>
      </c>
      <c r="S116" s="538"/>
      <c r="T116" s="538"/>
      <c r="U116" s="538"/>
      <c r="V116" s="538"/>
    </row>
    <row r="117" spans="1:22" ht="33" customHeight="1" x14ac:dyDescent="0.25">
      <c r="A117" s="889"/>
      <c r="B117" s="593" t="s">
        <v>455</v>
      </c>
      <c r="C117" s="594"/>
      <c r="D117" s="595">
        <v>0</v>
      </c>
      <c r="E117" s="596">
        <f>C117-D117</f>
        <v>0</v>
      </c>
      <c r="F117" s="257"/>
      <c r="G117" s="889"/>
      <c r="H117" s="578" t="s">
        <v>455</v>
      </c>
      <c r="I117" s="570">
        <v>1</v>
      </c>
      <c r="J117" s="549">
        <f>C117*I117</f>
        <v>0</v>
      </c>
      <c r="K117" s="595">
        <v>0</v>
      </c>
      <c r="L117" s="596">
        <f>J117-K117</f>
        <v>0</v>
      </c>
      <c r="M117" s="257"/>
      <c r="N117" s="889"/>
      <c r="O117" s="578" t="s">
        <v>455</v>
      </c>
      <c r="P117" s="549">
        <f>J117</f>
        <v>0</v>
      </c>
      <c r="Q117" s="597"/>
      <c r="R117" s="596">
        <f>P117-Q117</f>
        <v>0</v>
      </c>
      <c r="S117" s="257"/>
      <c r="T117" s="257"/>
      <c r="U117" s="257"/>
      <c r="V117" s="257"/>
    </row>
    <row r="118" spans="1:22" ht="33" customHeight="1" thickBot="1" x14ac:dyDescent="0.3">
      <c r="A118" s="890"/>
      <c r="B118" s="598" t="s">
        <v>5</v>
      </c>
      <c r="C118" s="358">
        <f>SUM(C117:C117)</f>
        <v>0</v>
      </c>
      <c r="D118" s="599">
        <f>SUM(D117:D117)</f>
        <v>0</v>
      </c>
      <c r="E118" s="600">
        <f>SUM(E117:E117)</f>
        <v>0</v>
      </c>
      <c r="F118" s="268"/>
      <c r="G118" s="890"/>
      <c r="H118" s="834" t="s">
        <v>5</v>
      </c>
      <c r="I118" s="910"/>
      <c r="J118" s="358">
        <f>SUM(J117:J117)</f>
        <v>0</v>
      </c>
      <c r="K118" s="599">
        <f>SUM(K117:K117)</f>
        <v>0</v>
      </c>
      <c r="L118" s="600">
        <f>SUM(L117:L117)</f>
        <v>0</v>
      </c>
      <c r="M118" s="268"/>
      <c r="N118" s="890"/>
      <c r="O118" s="598" t="s">
        <v>5</v>
      </c>
      <c r="P118" s="358">
        <f>SUM(P117:P117)</f>
        <v>0</v>
      </c>
      <c r="Q118" s="599">
        <f>SUM(Q117:Q117)</f>
        <v>0</v>
      </c>
      <c r="R118" s="600">
        <f>SUM(R117:R117)</f>
        <v>0</v>
      </c>
      <c r="S118" s="268"/>
      <c r="T118" s="268"/>
      <c r="U118" s="268"/>
      <c r="V118" s="268"/>
    </row>
  </sheetData>
  <mergeCells count="187">
    <mergeCell ref="U106:V106"/>
    <mergeCell ref="U107:V107"/>
    <mergeCell ref="B108:D108"/>
    <mergeCell ref="U108:V108"/>
    <mergeCell ref="K95:P95"/>
    <mergeCell ref="F98:F99"/>
    <mergeCell ref="I98:I99"/>
    <mergeCell ref="A114:A118"/>
    <mergeCell ref="B114:E114"/>
    <mergeCell ref="G114:G118"/>
    <mergeCell ref="H114:L114"/>
    <mergeCell ref="N114:N118"/>
    <mergeCell ref="E106:E107"/>
    <mergeCell ref="F106:F107"/>
    <mergeCell ref="G106:G107"/>
    <mergeCell ref="H106:H107"/>
    <mergeCell ref="I106:I107"/>
    <mergeCell ref="J106:J107"/>
    <mergeCell ref="O114:R114"/>
    <mergeCell ref="B115:B116"/>
    <mergeCell ref="H115:H116"/>
    <mergeCell ref="I115:I116"/>
    <mergeCell ref="O115:O116"/>
    <mergeCell ref="H118:I118"/>
    <mergeCell ref="K106:K107"/>
    <mergeCell ref="B100:D100"/>
    <mergeCell ref="A102:A108"/>
    <mergeCell ref="B102:V102"/>
    <mergeCell ref="B103:B104"/>
    <mergeCell ref="C103:C104"/>
    <mergeCell ref="D103:D104"/>
    <mergeCell ref="E103:H103"/>
    <mergeCell ref="B92:D92"/>
    <mergeCell ref="A94:A100"/>
    <mergeCell ref="B94:Q94"/>
    <mergeCell ref="B95:B96"/>
    <mergeCell ref="C95:C96"/>
    <mergeCell ref="D95:D96"/>
    <mergeCell ref="E95:E96"/>
    <mergeCell ref="F95:F96"/>
    <mergeCell ref="G95:G96"/>
    <mergeCell ref="H95:J95"/>
    <mergeCell ref="A86:A92"/>
    <mergeCell ref="I103:K103"/>
    <mergeCell ref="L103:M103"/>
    <mergeCell ref="N103:S103"/>
    <mergeCell ref="T103:T104"/>
    <mergeCell ref="U103:V104"/>
    <mergeCell ref="U105:V105"/>
    <mergeCell ref="F87:F88"/>
    <mergeCell ref="G87:G88"/>
    <mergeCell ref="H87:J87"/>
    <mergeCell ref="K87:P87"/>
    <mergeCell ref="F90:F91"/>
    <mergeCell ref="I90:I91"/>
    <mergeCell ref="N78:O78"/>
    <mergeCell ref="N79:O79"/>
    <mergeCell ref="N80:O80"/>
    <mergeCell ref="N81:O81"/>
    <mergeCell ref="B86:Q86"/>
    <mergeCell ref="B87:B88"/>
    <mergeCell ref="C87:C88"/>
    <mergeCell ref="D87:D88"/>
    <mergeCell ref="E87:E88"/>
    <mergeCell ref="C75:C77"/>
    <mergeCell ref="D75:F75"/>
    <mergeCell ref="G75:L75"/>
    <mergeCell ref="M75:M76"/>
    <mergeCell ref="N75:O76"/>
    <mergeCell ref="N77:O77"/>
    <mergeCell ref="G59:G61"/>
    <mergeCell ref="B62:D62"/>
    <mergeCell ref="A65:A81"/>
    <mergeCell ref="B65:V65"/>
    <mergeCell ref="B66:B68"/>
    <mergeCell ref="C66:C68"/>
    <mergeCell ref="D66:J66"/>
    <mergeCell ref="K66:N66"/>
    <mergeCell ref="O66:V66"/>
    <mergeCell ref="B75:B77"/>
    <mergeCell ref="A45:A62"/>
    <mergeCell ref="B46:B48"/>
    <mergeCell ref="C46:C48"/>
    <mergeCell ref="D46:D48"/>
    <mergeCell ref="E46:E48"/>
    <mergeCell ref="F46:F48"/>
    <mergeCell ref="E59:E61"/>
    <mergeCell ref="U50:U52"/>
    <mergeCell ref="V50:V52"/>
    <mergeCell ref="B53:D53"/>
    <mergeCell ref="B55:B57"/>
    <mergeCell ref="C55:C57"/>
    <mergeCell ref="D55:D57"/>
    <mergeCell ref="E55:S56"/>
    <mergeCell ref="O50:O52"/>
    <mergeCell ref="P50:P52"/>
    <mergeCell ref="Q50:Q52"/>
    <mergeCell ref="R50:R52"/>
    <mergeCell ref="S50:S52"/>
    <mergeCell ref="T50:T52"/>
    <mergeCell ref="H50:H52"/>
    <mergeCell ref="J50:J52"/>
    <mergeCell ref="K50:K52"/>
    <mergeCell ref="L50:L52"/>
    <mergeCell ref="M50:M52"/>
    <mergeCell ref="N50:N52"/>
    <mergeCell ref="F50:F52"/>
    <mergeCell ref="G46:G48"/>
    <mergeCell ref="H46:H48"/>
    <mergeCell ref="I46:I48"/>
    <mergeCell ref="J46:V46"/>
    <mergeCell ref="J47:K47"/>
    <mergeCell ref="L47:M47"/>
    <mergeCell ref="N47:O47"/>
    <mergeCell ref="P47:Q47"/>
    <mergeCell ref="R47:S47"/>
    <mergeCell ref="T47:U47"/>
    <mergeCell ref="G39:G41"/>
    <mergeCell ref="C40:D40"/>
    <mergeCell ref="C41:D41"/>
    <mergeCell ref="B42:D42"/>
    <mergeCell ref="U30:U32"/>
    <mergeCell ref="V30:V32"/>
    <mergeCell ref="C31:D31"/>
    <mergeCell ref="C32:D32"/>
    <mergeCell ref="B33:D33"/>
    <mergeCell ref="B35:B37"/>
    <mergeCell ref="C35:D37"/>
    <mergeCell ref="E35:S36"/>
    <mergeCell ref="O30:O32"/>
    <mergeCell ref="P30:P32"/>
    <mergeCell ref="Q30:Q32"/>
    <mergeCell ref="R30:R32"/>
    <mergeCell ref="S30:S32"/>
    <mergeCell ref="T30:T32"/>
    <mergeCell ref="H30:H32"/>
    <mergeCell ref="J30:J32"/>
    <mergeCell ref="K30:K32"/>
    <mergeCell ref="L30:L32"/>
    <mergeCell ref="M30:M32"/>
    <mergeCell ref="N30:N32"/>
    <mergeCell ref="G26:G28"/>
    <mergeCell ref="H26:H28"/>
    <mergeCell ref="I26:I28"/>
    <mergeCell ref="J26:V26"/>
    <mergeCell ref="J27:K27"/>
    <mergeCell ref="L27:M27"/>
    <mergeCell ref="N27:O27"/>
    <mergeCell ref="P27:Q27"/>
    <mergeCell ref="R27:S27"/>
    <mergeCell ref="T27:U27"/>
    <mergeCell ref="D23:E23"/>
    <mergeCell ref="A25:A42"/>
    <mergeCell ref="B26:B28"/>
    <mergeCell ref="C26:D28"/>
    <mergeCell ref="E26:E28"/>
    <mergeCell ref="F26:F28"/>
    <mergeCell ref="C29:D29"/>
    <mergeCell ref="C30:D30"/>
    <mergeCell ref="F30:F32"/>
    <mergeCell ref="C38:D38"/>
    <mergeCell ref="C39:D39"/>
    <mergeCell ref="E39:E41"/>
    <mergeCell ref="D22:E22"/>
    <mergeCell ref="I22:J22"/>
    <mergeCell ref="N22:O22"/>
    <mergeCell ref="Q8:U10"/>
    <mergeCell ref="B10:B12"/>
    <mergeCell ref="C10:E10"/>
    <mergeCell ref="F10:H10"/>
    <mergeCell ref="I10:K10"/>
    <mergeCell ref="L10:N10"/>
    <mergeCell ref="C11:E11"/>
    <mergeCell ref="F11:H11"/>
    <mergeCell ref="I11:K11"/>
    <mergeCell ref="L11:N11"/>
    <mergeCell ref="J3:J4"/>
    <mergeCell ref="K3:M4"/>
    <mergeCell ref="Q3:T4"/>
    <mergeCell ref="C4:H5"/>
    <mergeCell ref="J5:J6"/>
    <mergeCell ref="K5:M6"/>
    <mergeCell ref="Q5:T6"/>
    <mergeCell ref="C6:H6"/>
    <mergeCell ref="D21:E21"/>
    <mergeCell ref="I21:J21"/>
    <mergeCell ref="N21:O21"/>
  </mergeCells>
  <conditionalFormatting sqref="O30:O32">
    <cfRule type="cellIs" dxfId="43" priority="43" operator="equal">
      <formula>0</formula>
    </cfRule>
  </conditionalFormatting>
  <conditionalFormatting sqref="J30:J32">
    <cfRule type="cellIs" dxfId="42" priority="36" operator="equal">
      <formula>0</formula>
    </cfRule>
  </conditionalFormatting>
  <conditionalFormatting sqref="N30:N32">
    <cfRule type="cellIs" dxfId="41" priority="44" operator="equal">
      <formula>0</formula>
    </cfRule>
  </conditionalFormatting>
  <conditionalFormatting sqref="E39:E41">
    <cfRule type="cellIs" dxfId="40" priority="42" operator="equal">
      <formula>0</formula>
    </cfRule>
  </conditionalFormatting>
  <conditionalFormatting sqref="G39:G41">
    <cfRule type="cellIs" dxfId="39" priority="41" operator="equal">
      <formula>0</formula>
    </cfRule>
  </conditionalFormatting>
  <conditionalFormatting sqref="K30:K32">
    <cfRule type="cellIs" dxfId="38" priority="40" operator="equal">
      <formula>0</formula>
    </cfRule>
  </conditionalFormatting>
  <conditionalFormatting sqref="E59:E61">
    <cfRule type="cellIs" dxfId="37" priority="39" operator="equal">
      <formula>0</formula>
    </cfRule>
  </conditionalFormatting>
  <conditionalFormatting sqref="G59:G61">
    <cfRule type="cellIs" dxfId="36" priority="38" operator="equal">
      <formula>0</formula>
    </cfRule>
  </conditionalFormatting>
  <conditionalFormatting sqref="V30:V32">
    <cfRule type="cellIs" dxfId="35" priority="37" operator="equal">
      <formula>0</formula>
    </cfRule>
  </conditionalFormatting>
  <conditionalFormatting sqref="M50:M52">
    <cfRule type="cellIs" dxfId="34" priority="35" operator="equal">
      <formula>0</formula>
    </cfRule>
  </conditionalFormatting>
  <conditionalFormatting sqref="P50:P52">
    <cfRule type="cellIs" dxfId="33" priority="33" operator="equal">
      <formula>0</formula>
    </cfRule>
  </conditionalFormatting>
  <conditionalFormatting sqref="O50:O52">
    <cfRule type="cellIs" dxfId="32" priority="31" operator="equal">
      <formula>0</formula>
    </cfRule>
  </conditionalFormatting>
  <conditionalFormatting sqref="R50:R52">
    <cfRule type="cellIs" dxfId="31" priority="32" operator="equal">
      <formula>0</formula>
    </cfRule>
  </conditionalFormatting>
  <conditionalFormatting sqref="J50:J52">
    <cfRule type="cellIs" dxfId="30" priority="24" operator="equal">
      <formula>0</formula>
    </cfRule>
  </conditionalFormatting>
  <conditionalFormatting sqref="N50:N52">
    <cfRule type="cellIs" dxfId="29" priority="34" operator="equal">
      <formula>0</formula>
    </cfRule>
  </conditionalFormatting>
  <conditionalFormatting sqref="L50:L52">
    <cfRule type="cellIs" dxfId="28" priority="23" operator="equal">
      <formula>0</formula>
    </cfRule>
  </conditionalFormatting>
  <conditionalFormatting sqref="Q50:Q52">
    <cfRule type="cellIs" dxfId="27" priority="30" operator="equal">
      <formula>0</formula>
    </cfRule>
  </conditionalFormatting>
  <conditionalFormatting sqref="S50:S52">
    <cfRule type="cellIs" dxfId="26" priority="29" operator="equal">
      <formula>0</formula>
    </cfRule>
  </conditionalFormatting>
  <conditionalFormatting sqref="U50:U52">
    <cfRule type="cellIs" dxfId="25" priority="28" operator="equal">
      <formula>0</formula>
    </cfRule>
  </conditionalFormatting>
  <conditionalFormatting sqref="K50:K52">
    <cfRule type="cellIs" dxfId="24" priority="27" operator="equal">
      <formula>0</formula>
    </cfRule>
  </conditionalFormatting>
  <conditionalFormatting sqref="V50:V52">
    <cfRule type="cellIs" dxfId="23" priority="26" operator="equal">
      <formula>0</formula>
    </cfRule>
  </conditionalFormatting>
  <conditionalFormatting sqref="T50:T52">
    <cfRule type="cellIs" dxfId="22" priority="25" operator="equal">
      <formula>0</formula>
    </cfRule>
  </conditionalFormatting>
  <conditionalFormatting sqref="N78:O81">
    <cfRule type="cellIs" dxfId="21" priority="21" operator="lessThan">
      <formula>0</formula>
    </cfRule>
    <cfRule type="cellIs" dxfId="20" priority="22" operator="greaterThan">
      <formula>0</formula>
    </cfRule>
  </conditionalFormatting>
  <conditionalFormatting sqref="U106:U107">
    <cfRule type="cellIs" dxfId="19" priority="19" operator="lessThan">
      <formula>0</formula>
    </cfRule>
    <cfRule type="cellIs" dxfId="18" priority="20" operator="greaterThan">
      <formula>0</formula>
    </cfRule>
  </conditionalFormatting>
  <conditionalFormatting sqref="U108:V108">
    <cfRule type="cellIs" dxfId="17" priority="17" operator="lessThan">
      <formula>0</formula>
    </cfRule>
    <cfRule type="cellIs" dxfId="16" priority="18" operator="greaterThan">
      <formula>0</formula>
    </cfRule>
  </conditionalFormatting>
  <conditionalFormatting sqref="L13:M13">
    <cfRule type="cellIs" dxfId="15" priority="15" operator="lessThan">
      <formula>0</formula>
    </cfRule>
    <cfRule type="cellIs" dxfId="14" priority="16" operator="greaterThan">
      <formula>0</formula>
    </cfRule>
  </conditionalFormatting>
  <conditionalFormatting sqref="L16:M16">
    <cfRule type="cellIs" dxfId="13" priority="13" operator="lessThan">
      <formula>0</formula>
    </cfRule>
    <cfRule type="cellIs" dxfId="12" priority="14" operator="greaterThan">
      <formula>0</formula>
    </cfRule>
  </conditionalFormatting>
  <conditionalFormatting sqref="L14:M14">
    <cfRule type="cellIs" dxfId="11" priority="11" operator="lessThan">
      <formula>0</formula>
    </cfRule>
    <cfRule type="cellIs" dxfId="10" priority="12" operator="greaterThan">
      <formula>0</formula>
    </cfRule>
  </conditionalFormatting>
  <conditionalFormatting sqref="L15:M15">
    <cfRule type="cellIs" dxfId="9" priority="9" operator="lessThan">
      <formula>0</formula>
    </cfRule>
    <cfRule type="cellIs" dxfId="8" priority="10" operator="greaterThan">
      <formula>0</formula>
    </cfRule>
  </conditionalFormatting>
  <conditionalFormatting sqref="L30:L32">
    <cfRule type="cellIs" dxfId="7" priority="7" operator="equal">
      <formula>0</formula>
    </cfRule>
  </conditionalFormatting>
  <conditionalFormatting sqref="M30:M32">
    <cfRule type="cellIs" dxfId="6" priority="8" operator="equal">
      <formula>0</formula>
    </cfRule>
  </conditionalFormatting>
  <conditionalFormatting sqref="P30:P32">
    <cfRule type="cellIs" dxfId="5" priority="5" operator="equal">
      <formula>0</formula>
    </cfRule>
  </conditionalFormatting>
  <conditionalFormatting sqref="Q30:Q32">
    <cfRule type="cellIs" dxfId="4" priority="6" operator="equal">
      <formula>0</formula>
    </cfRule>
  </conditionalFormatting>
  <conditionalFormatting sqref="R30:R32">
    <cfRule type="cellIs" dxfId="3" priority="3" operator="equal">
      <formula>0</formula>
    </cfRule>
  </conditionalFormatting>
  <conditionalFormatting sqref="S30:S32">
    <cfRule type="cellIs" dxfId="2" priority="4" operator="equal">
      <formula>0</formula>
    </cfRule>
  </conditionalFormatting>
  <conditionalFormatting sqref="T30:T32">
    <cfRule type="cellIs" dxfId="1" priority="1" operator="equal">
      <formula>0</formula>
    </cfRule>
  </conditionalFormatting>
  <conditionalFormatting sqref="U30:U32">
    <cfRule type="cellIs" dxfId="0" priority="2" operator="equal">
      <formula>0</formula>
    </cfRule>
  </conditionalFormatting>
  <dataValidations count="2">
    <dataValidation type="list" allowBlank="1" showInputMessage="1" showErrorMessage="1" sqref="D90:D91" xr:uid="{8ED654C3-08B3-4BA7-8D9B-00F77C147405}">
      <formula1>"DA, NE"</formula1>
    </dataValidation>
    <dataValidation type="list" errorStyle="warning" allowBlank="1" showInputMessage="1" showErrorMessage="1" errorTitle="NEPRAVILNA VREDNOST" error="PREVERI VNOS!_x000a__x000a_Dovoljene vrednosti:_x000a_- OSNUTEK_x000a_- PREDLOG_x000a_- POTRJENO" sqref="K5" xr:uid="{0BFE02E4-42AB-481E-9449-E5AAA3E71244}">
      <formula1>"OSNUTEK, PREDLOG, POTRJENO"</formula1>
    </dataValidation>
  </dataValidations>
  <pageMargins left="0.43307086614173229" right="0.43307086614173229" top="0.74803149606299213" bottom="0.74803149606299213" header="0.31496062992125984" footer="0.31496062992125984"/>
  <pageSetup paperSize="9" scale="32" fitToHeight="0" orientation="landscape" r:id="rId1"/>
  <headerFooter>
    <oddHeader>&amp;L&amp;"Arial,Krepko"&amp;20PETROL d.d., Ljubljana
Dunajska 50, 1000 Ljubljana&amp;C&amp;"Arial Black,Navadno"&amp;16OBRAČUN PRIHRANKOV</oddHeader>
    <oddFooter>&amp;L&amp;A&amp;C&amp;P/&amp;N&amp;R&amp;D</oddFooter>
  </headerFooter>
  <rowBreaks count="2" manualBreakCount="2">
    <brk id="43" max="21" man="1"/>
    <brk id="82" max="21"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0000"/>
    <pageSetUpPr fitToPage="1"/>
  </sheetPr>
  <dimension ref="A1:BN14"/>
  <sheetViews>
    <sheetView view="pageBreakPreview" zoomScale="130" zoomScaleNormal="85" zoomScaleSheetLayoutView="130" workbookViewId="0">
      <selection activeCell="BN44" sqref="BN44:BN45"/>
    </sheetView>
  </sheetViews>
  <sheetFormatPr defaultColWidth="17.42578125" defaultRowHeight="15" x14ac:dyDescent="0.25"/>
  <cols>
    <col min="1" max="1" width="7.7109375" style="64" customWidth="1"/>
    <col min="2" max="2" width="9.28515625" style="64" customWidth="1"/>
    <col min="3" max="3" width="19.42578125" style="64" customWidth="1"/>
    <col min="4" max="4" width="27.140625" style="64" customWidth="1"/>
    <col min="5" max="5" width="12.7109375" style="64" customWidth="1"/>
    <col min="6" max="6" width="9.42578125" style="64" hidden="1" customWidth="1"/>
    <col min="7" max="7" width="6.42578125" style="64" customWidth="1"/>
    <col min="8" max="8" width="8.85546875" style="64" hidden="1" customWidth="1"/>
    <col min="9" max="9" width="16.5703125" style="64" hidden="1" customWidth="1"/>
    <col min="10" max="10" width="20.28515625" style="64" hidden="1" customWidth="1"/>
    <col min="11" max="11" width="14.42578125" style="64" hidden="1" customWidth="1"/>
    <col min="12" max="12" width="14.140625" style="64" hidden="1" customWidth="1"/>
    <col min="13" max="13" width="14.42578125" style="64" hidden="1" customWidth="1"/>
    <col min="14" max="14" width="13" style="64" hidden="1" customWidth="1"/>
    <col min="15" max="15" width="8.42578125" style="64" hidden="1" customWidth="1"/>
    <col min="16" max="22" width="9.28515625" style="64" customWidth="1"/>
    <col min="23" max="36" width="9.28515625" style="64" hidden="1" customWidth="1"/>
    <col min="37" max="61" width="9.28515625" style="64" customWidth="1"/>
    <col min="62" max="65" width="12.28515625" style="64" customWidth="1"/>
    <col min="66" max="16384" width="17.42578125" style="64"/>
  </cols>
  <sheetData>
    <row r="1" spans="1:66" x14ac:dyDescent="0.25">
      <c r="A1" s="649" t="s">
        <v>186</v>
      </c>
      <c r="B1" s="650"/>
      <c r="C1" s="650"/>
      <c r="D1" s="650"/>
      <c r="E1" s="650"/>
      <c r="F1" s="650"/>
      <c r="G1" s="650"/>
      <c r="H1" s="650"/>
      <c r="I1" s="650"/>
      <c r="J1" s="650"/>
      <c r="K1" s="650"/>
      <c r="L1" s="651"/>
      <c r="M1" s="68"/>
      <c r="N1" s="68"/>
      <c r="O1" s="68"/>
      <c r="P1" s="652" t="s">
        <v>27</v>
      </c>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2"/>
      <c r="AY1" s="652"/>
      <c r="AZ1" s="653" t="s">
        <v>293</v>
      </c>
      <c r="BA1" s="654"/>
      <c r="BB1" s="654"/>
      <c r="BC1" s="654"/>
      <c r="BD1" s="654"/>
      <c r="BE1" s="654"/>
      <c r="BF1" s="654"/>
      <c r="BG1" s="654"/>
      <c r="BH1" s="654"/>
      <c r="BI1" s="655"/>
      <c r="BJ1" s="69" t="s">
        <v>55</v>
      </c>
      <c r="BK1" s="70"/>
      <c r="BL1" s="70"/>
      <c r="BM1" s="71"/>
    </row>
    <row r="2" spans="1:66" ht="15.75" thickBot="1" x14ac:dyDescent="0.3">
      <c r="A2" s="197"/>
      <c r="B2" s="601"/>
      <c r="C2" s="197"/>
      <c r="D2" s="197"/>
      <c r="E2" s="197"/>
      <c r="F2" s="197"/>
      <c r="G2" s="197"/>
      <c r="H2" s="197"/>
      <c r="I2" s="197"/>
      <c r="J2" s="197"/>
      <c r="K2" s="197"/>
      <c r="L2" s="198"/>
      <c r="M2" s="199"/>
      <c r="N2" s="199"/>
      <c r="O2" s="199"/>
      <c r="P2" s="652" t="s">
        <v>281</v>
      </c>
      <c r="Q2" s="652"/>
      <c r="R2" s="652"/>
      <c r="S2" s="652"/>
      <c r="T2" s="652"/>
      <c r="U2" s="652"/>
      <c r="V2" s="652"/>
      <c r="W2" s="652" t="s">
        <v>282</v>
      </c>
      <c r="X2" s="652"/>
      <c r="Y2" s="652"/>
      <c r="Z2" s="652"/>
      <c r="AA2" s="652"/>
      <c r="AB2" s="652"/>
      <c r="AC2" s="652"/>
      <c r="AD2" s="652" t="s">
        <v>283</v>
      </c>
      <c r="AE2" s="652"/>
      <c r="AF2" s="652"/>
      <c r="AG2" s="652"/>
      <c r="AH2" s="652"/>
      <c r="AI2" s="652"/>
      <c r="AJ2" s="652"/>
      <c r="AK2" s="656"/>
      <c r="AL2" s="657"/>
      <c r="AM2" s="657"/>
      <c r="AN2" s="657"/>
      <c r="AO2" s="657"/>
      <c r="AP2" s="657"/>
      <c r="AQ2" s="657"/>
      <c r="AR2" s="657"/>
      <c r="AS2" s="657"/>
      <c r="AT2" s="657"/>
      <c r="AU2" s="657"/>
      <c r="AV2" s="657"/>
      <c r="AW2" s="657"/>
      <c r="AX2" s="657"/>
      <c r="AY2" s="658"/>
      <c r="AZ2" s="200"/>
      <c r="BA2" s="201"/>
      <c r="BB2" s="201"/>
      <c r="BC2" s="201"/>
      <c r="BD2" s="201"/>
      <c r="BE2" s="201"/>
      <c r="BF2" s="201"/>
      <c r="BG2" s="201"/>
      <c r="BH2" s="201"/>
      <c r="BI2" s="202"/>
      <c r="BJ2" s="203"/>
      <c r="BK2" s="204"/>
      <c r="BL2" s="204"/>
      <c r="BM2" s="71"/>
    </row>
    <row r="3" spans="1:66" ht="81" customHeight="1" thickBot="1" x14ac:dyDescent="0.3">
      <c r="A3" s="72" t="s">
        <v>71</v>
      </c>
      <c r="B3" s="602" t="s">
        <v>26</v>
      </c>
      <c r="C3" s="73" t="s">
        <v>187</v>
      </c>
      <c r="D3" s="74" t="s">
        <v>188</v>
      </c>
      <c r="E3" s="73" t="s">
        <v>189</v>
      </c>
      <c r="F3" s="73" t="s">
        <v>190</v>
      </c>
      <c r="G3" s="73" t="s">
        <v>191</v>
      </c>
      <c r="H3" s="73" t="s">
        <v>192</v>
      </c>
      <c r="I3" s="73" t="s">
        <v>193</v>
      </c>
      <c r="J3" s="73" t="s">
        <v>194</v>
      </c>
      <c r="K3" s="73" t="s">
        <v>195</v>
      </c>
      <c r="L3" s="73" t="s">
        <v>196</v>
      </c>
      <c r="M3" s="73" t="s">
        <v>197</v>
      </c>
      <c r="N3" s="73" t="s">
        <v>198</v>
      </c>
      <c r="O3" s="73" t="s">
        <v>199</v>
      </c>
      <c r="P3" s="205" t="s">
        <v>285</v>
      </c>
      <c r="Q3" s="205" t="s">
        <v>200</v>
      </c>
      <c r="R3" s="205" t="s">
        <v>201</v>
      </c>
      <c r="S3" s="205" t="s">
        <v>202</v>
      </c>
      <c r="T3" s="205" t="s">
        <v>288</v>
      </c>
      <c r="U3" s="205" t="s">
        <v>220</v>
      </c>
      <c r="V3" s="205" t="s">
        <v>290</v>
      </c>
      <c r="W3" s="205" t="s">
        <v>286</v>
      </c>
      <c r="X3" s="205" t="s">
        <v>200</v>
      </c>
      <c r="Y3" s="205" t="s">
        <v>201</v>
      </c>
      <c r="Z3" s="205" t="s">
        <v>202</v>
      </c>
      <c r="AA3" s="205" t="s">
        <v>288</v>
      </c>
      <c r="AB3" s="205" t="s">
        <v>220</v>
      </c>
      <c r="AC3" s="205" t="s">
        <v>291</v>
      </c>
      <c r="AD3" s="205" t="s">
        <v>287</v>
      </c>
      <c r="AE3" s="205" t="s">
        <v>200</v>
      </c>
      <c r="AF3" s="205" t="s">
        <v>201</v>
      </c>
      <c r="AG3" s="205" t="s">
        <v>202</v>
      </c>
      <c r="AH3" s="205" t="s">
        <v>288</v>
      </c>
      <c r="AI3" s="205" t="s">
        <v>220</v>
      </c>
      <c r="AJ3" s="205" t="s">
        <v>292</v>
      </c>
      <c r="AK3" s="205" t="s">
        <v>284</v>
      </c>
      <c r="AL3" s="205" t="s">
        <v>289</v>
      </c>
      <c r="AM3" s="205" t="s">
        <v>221</v>
      </c>
      <c r="AN3" s="205" t="s">
        <v>218</v>
      </c>
      <c r="AO3" s="205" t="s">
        <v>205</v>
      </c>
      <c r="AP3" s="205" t="s">
        <v>206</v>
      </c>
      <c r="AQ3" s="205" t="s">
        <v>207</v>
      </c>
      <c r="AR3" s="205" t="s">
        <v>312</v>
      </c>
      <c r="AS3" s="205" t="s">
        <v>203</v>
      </c>
      <c r="AT3" s="205" t="s">
        <v>204</v>
      </c>
      <c r="AU3" s="205" t="s">
        <v>217</v>
      </c>
      <c r="AV3" s="205" t="s">
        <v>219</v>
      </c>
      <c r="AW3" s="205" t="s">
        <v>309</v>
      </c>
      <c r="AX3" s="205" t="s">
        <v>310</v>
      </c>
      <c r="AY3" s="205" t="s">
        <v>311</v>
      </c>
      <c r="AZ3" s="73" t="s">
        <v>208</v>
      </c>
      <c r="BA3" s="73" t="s">
        <v>222</v>
      </c>
      <c r="BB3" s="73" t="s">
        <v>209</v>
      </c>
      <c r="BC3" s="73" t="s">
        <v>213</v>
      </c>
      <c r="BD3" s="73" t="s">
        <v>214</v>
      </c>
      <c r="BE3" s="73" t="s">
        <v>210</v>
      </c>
      <c r="BF3" s="73" t="s">
        <v>211</v>
      </c>
      <c r="BG3" s="73" t="s">
        <v>212</v>
      </c>
      <c r="BH3" s="73" t="s">
        <v>313</v>
      </c>
      <c r="BI3" s="73" t="s">
        <v>314</v>
      </c>
      <c r="BJ3" s="73" t="s">
        <v>215</v>
      </c>
      <c r="BK3" s="73" t="s">
        <v>223</v>
      </c>
      <c r="BL3" s="75" t="s">
        <v>216</v>
      </c>
      <c r="BM3" s="212" t="s">
        <v>95</v>
      </c>
    </row>
    <row r="4" spans="1:66" x14ac:dyDescent="0.25">
      <c r="A4" s="76">
        <v>1</v>
      </c>
      <c r="B4" s="603" t="s">
        <v>275</v>
      </c>
      <c r="C4" s="77" t="s">
        <v>473</v>
      </c>
      <c r="D4" s="77" t="s">
        <v>479</v>
      </c>
      <c r="E4" s="77" t="s">
        <v>480</v>
      </c>
      <c r="F4" s="77"/>
      <c r="G4" s="78">
        <v>954.3</v>
      </c>
      <c r="H4" s="79"/>
      <c r="I4" s="80"/>
      <c r="J4" s="81"/>
      <c r="K4" s="81"/>
      <c r="L4" s="82"/>
      <c r="M4" s="83"/>
      <c r="N4" s="84"/>
      <c r="O4" s="85">
        <f t="shared" ref="O4:O8" si="0">BF4/G4</f>
        <v>32.42062244577177</v>
      </c>
      <c r="P4" s="207" t="s">
        <v>65</v>
      </c>
      <c r="Q4" s="87">
        <v>14316.75</v>
      </c>
      <c r="R4" s="86" t="s">
        <v>488</v>
      </c>
      <c r="S4" s="86">
        <v>10.06</v>
      </c>
      <c r="T4" s="88">
        <v>9404.3875000000007</v>
      </c>
      <c r="U4" s="87">
        <v>144026.505</v>
      </c>
      <c r="V4" s="89">
        <v>0.84</v>
      </c>
      <c r="W4" s="207" t="s">
        <v>489</v>
      </c>
      <c r="X4" s="87">
        <v>0</v>
      </c>
      <c r="Y4" s="86" t="s">
        <v>489</v>
      </c>
      <c r="Z4" s="86">
        <v>0</v>
      </c>
      <c r="AA4" s="88">
        <v>0</v>
      </c>
      <c r="AB4" s="87">
        <v>0</v>
      </c>
      <c r="AC4" s="89">
        <v>0</v>
      </c>
      <c r="AD4" s="207" t="s">
        <v>489</v>
      </c>
      <c r="AE4" s="87">
        <v>0</v>
      </c>
      <c r="AF4" s="86" t="s">
        <v>489</v>
      </c>
      <c r="AG4" s="86">
        <v>0</v>
      </c>
      <c r="AH4" s="88">
        <v>0</v>
      </c>
      <c r="AI4" s="87">
        <v>0</v>
      </c>
      <c r="AJ4" s="89">
        <v>0</v>
      </c>
      <c r="AK4" s="208">
        <f t="shared" ref="AK4" si="1">U4+AB4+AI4</f>
        <v>144026.505</v>
      </c>
      <c r="AL4" s="209">
        <f t="shared" ref="AL4" si="2">ROUND(T4+AA4+AH4,2)</f>
        <v>9404.39</v>
      </c>
      <c r="AM4" s="208">
        <f t="shared" ref="AM4" si="3">U4*V4+AB4*AC4+AI4*AJ4</f>
        <v>120982.26420000001</v>
      </c>
      <c r="AN4" s="210">
        <f t="shared" ref="AN4" si="4">AL4/AM4</f>
        <v>7.773362535564117E-2</v>
      </c>
      <c r="AO4" s="208">
        <v>102834.92457</v>
      </c>
      <c r="AP4" s="208">
        <v>18147.339629999999</v>
      </c>
      <c r="AQ4" s="208">
        <v>0</v>
      </c>
      <c r="AR4" s="206">
        <v>0</v>
      </c>
      <c r="AS4" s="87">
        <f t="shared" ref="AS4" si="5">AT4*AK4/AM4</f>
        <v>144026.505</v>
      </c>
      <c r="AT4" s="87">
        <f>AM4+AR4</f>
        <v>120982.26420000001</v>
      </c>
      <c r="AU4" s="90">
        <f t="shared" ref="AU4" si="6">AN4</f>
        <v>7.773362535564117E-2</v>
      </c>
      <c r="AV4" s="88">
        <f t="shared" ref="AV4" si="7">AL4+AR4*AU4</f>
        <v>9404.39</v>
      </c>
      <c r="AW4" s="87">
        <v>102834.92457</v>
      </c>
      <c r="AX4" s="87">
        <v>18147.339629999999</v>
      </c>
      <c r="AY4" s="87">
        <v>0</v>
      </c>
      <c r="AZ4" s="91">
        <v>30939</v>
      </c>
      <c r="BA4" s="92">
        <v>4544.450824888444</v>
      </c>
      <c r="BB4" s="93">
        <f t="shared" ref="BB4" si="8">BA4/AZ4</f>
        <v>0.14688421813531286</v>
      </c>
      <c r="BC4" s="91">
        <v>5135.5124999999998</v>
      </c>
      <c r="BD4" s="91">
        <v>25803.487499999999</v>
      </c>
      <c r="BE4" s="211">
        <v>0</v>
      </c>
      <c r="BF4" s="91">
        <f t="shared" ref="BF4" si="9">AZ4+BE4</f>
        <v>30939</v>
      </c>
      <c r="BG4" s="92">
        <f t="shared" ref="BG4" si="10">BF4*BB4</f>
        <v>4544.450824888444</v>
      </c>
      <c r="BH4" s="91">
        <v>5135.5124999999998</v>
      </c>
      <c r="BI4" s="91">
        <v>25803.487499999999</v>
      </c>
      <c r="BJ4" s="94">
        <f t="shared" ref="BJ4" si="11">AV4+BG4</f>
        <v>13948.840824888444</v>
      </c>
      <c r="BK4" s="95">
        <v>3340</v>
      </c>
      <c r="BL4" s="95">
        <f t="shared" ref="BL4" si="12">BJ4+BK4</f>
        <v>17288.840824888444</v>
      </c>
      <c r="BM4" s="95"/>
      <c r="BN4" s="96"/>
    </row>
    <row r="5" spans="1:66" x14ac:dyDescent="0.25">
      <c r="A5" s="76"/>
      <c r="B5" s="603"/>
      <c r="C5" s="77"/>
      <c r="D5" s="77"/>
      <c r="E5" s="77"/>
      <c r="F5" s="77"/>
      <c r="G5" s="78"/>
      <c r="H5" s="79"/>
      <c r="I5" s="80"/>
      <c r="J5" s="81"/>
      <c r="K5" s="81"/>
      <c r="L5" s="82"/>
      <c r="M5" s="83"/>
      <c r="N5" s="84"/>
      <c r="O5" s="85"/>
      <c r="P5" s="207"/>
      <c r="Q5" s="87"/>
      <c r="R5" s="86"/>
      <c r="S5" s="86"/>
      <c r="T5" s="88"/>
      <c r="U5" s="87"/>
      <c r="V5" s="89"/>
      <c r="W5" s="207"/>
      <c r="X5" s="87"/>
      <c r="Y5" s="86"/>
      <c r="Z5" s="86"/>
      <c r="AA5" s="88"/>
      <c r="AB5" s="87"/>
      <c r="AC5" s="89"/>
      <c r="AD5" s="207"/>
      <c r="AE5" s="87"/>
      <c r="AF5" s="86"/>
      <c r="AG5" s="86"/>
      <c r="AH5" s="88"/>
      <c r="AI5" s="87"/>
      <c r="AJ5" s="89"/>
      <c r="AK5" s="208"/>
      <c r="AL5" s="209"/>
      <c r="AM5" s="208"/>
      <c r="AN5" s="210"/>
      <c r="AO5" s="208"/>
      <c r="AP5" s="208"/>
      <c r="AQ5" s="208"/>
      <c r="AR5" s="206"/>
      <c r="AS5" s="87"/>
      <c r="AT5" s="87"/>
      <c r="AU5" s="90"/>
      <c r="AV5" s="88"/>
      <c r="AW5" s="87"/>
      <c r="AX5" s="87"/>
      <c r="AY5" s="87"/>
      <c r="AZ5" s="91"/>
      <c r="BA5" s="92"/>
      <c r="BB5" s="93"/>
      <c r="BC5" s="91"/>
      <c r="BD5" s="91"/>
      <c r="BE5" s="211"/>
      <c r="BF5" s="91"/>
      <c r="BG5" s="92"/>
      <c r="BH5" s="91"/>
      <c r="BI5" s="91"/>
      <c r="BJ5" s="94"/>
      <c r="BK5" s="95"/>
      <c r="BL5" s="95"/>
      <c r="BM5" s="95"/>
      <c r="BN5" s="96"/>
    </row>
    <row r="6" spans="1:66" x14ac:dyDescent="0.25">
      <c r="A6" s="76">
        <v>3</v>
      </c>
      <c r="B6" s="603" t="s">
        <v>277</v>
      </c>
      <c r="C6" s="77" t="s">
        <v>474</v>
      </c>
      <c r="D6" s="77" t="s">
        <v>481</v>
      </c>
      <c r="E6" s="77" t="s">
        <v>482</v>
      </c>
      <c r="F6" s="77"/>
      <c r="G6" s="78">
        <v>923.5</v>
      </c>
      <c r="H6" s="79"/>
      <c r="I6" s="80"/>
      <c r="J6" s="81"/>
      <c r="K6" s="81"/>
      <c r="L6" s="82"/>
      <c r="M6" s="83"/>
      <c r="N6" s="84">
        <f t="shared" ref="N6:N8" si="13">AS6/G6</f>
        <v>201.3308067135896</v>
      </c>
      <c r="O6" s="85">
        <f t="shared" si="0"/>
        <v>84.082295614510016</v>
      </c>
      <c r="P6" s="207" t="s">
        <v>64</v>
      </c>
      <c r="Q6" s="87">
        <v>185929</v>
      </c>
      <c r="R6" s="86" t="s">
        <v>13</v>
      </c>
      <c r="S6" s="86">
        <v>1</v>
      </c>
      <c r="T6" s="88">
        <v>9895.1033333333344</v>
      </c>
      <c r="U6" s="87">
        <v>185929</v>
      </c>
      <c r="V6" s="89">
        <v>0.8</v>
      </c>
      <c r="W6" s="207" t="s">
        <v>489</v>
      </c>
      <c r="X6" s="87">
        <v>0</v>
      </c>
      <c r="Y6" s="86" t="s">
        <v>489</v>
      </c>
      <c r="Z6" s="86">
        <v>0</v>
      </c>
      <c r="AA6" s="88">
        <v>0</v>
      </c>
      <c r="AB6" s="87">
        <v>0</v>
      </c>
      <c r="AC6" s="89">
        <v>0</v>
      </c>
      <c r="AD6" s="207" t="s">
        <v>489</v>
      </c>
      <c r="AE6" s="87">
        <v>0</v>
      </c>
      <c r="AF6" s="86" t="s">
        <v>489</v>
      </c>
      <c r="AG6" s="86">
        <v>0</v>
      </c>
      <c r="AH6" s="88">
        <v>0</v>
      </c>
      <c r="AI6" s="87">
        <v>0</v>
      </c>
      <c r="AJ6" s="89">
        <v>0</v>
      </c>
      <c r="AK6" s="208">
        <f t="shared" ref="AK6:AK8" si="14">U6+AB6+AI6</f>
        <v>185929</v>
      </c>
      <c r="AL6" s="209">
        <f t="shared" ref="AL6:AL8" si="15">ROUND(T6+AA6+AH6,2)</f>
        <v>9895.1</v>
      </c>
      <c r="AM6" s="208">
        <f t="shared" ref="AM6:AM8" si="16">U6*V6+AB6*AC6+AI6*AJ6</f>
        <v>148743.20000000001</v>
      </c>
      <c r="AN6" s="210">
        <f t="shared" ref="AN6:AN8" si="17">AL6/AM6</f>
        <v>6.652472180240844E-2</v>
      </c>
      <c r="AO6" s="208">
        <v>111305.8695094443</v>
      </c>
      <c r="AP6" s="208">
        <v>17849.184000000001</v>
      </c>
      <c r="AQ6" s="208">
        <v>19588.146490555726</v>
      </c>
      <c r="AR6" s="206">
        <v>0</v>
      </c>
      <c r="AS6" s="87">
        <f t="shared" ref="AS6:AS8" si="18">AT6*AK6/AM6</f>
        <v>185929</v>
      </c>
      <c r="AT6" s="87">
        <f t="shared" ref="AT6:AT8" si="19">AM6+AR6</f>
        <v>148743.20000000001</v>
      </c>
      <c r="AU6" s="90">
        <f t="shared" ref="AU6:AU8" si="20">AN6</f>
        <v>6.652472180240844E-2</v>
      </c>
      <c r="AV6" s="88">
        <f t="shared" ref="AV6:AV8" si="21">AL6+AR6*AU6</f>
        <v>9895.1</v>
      </c>
      <c r="AW6" s="87">
        <v>111305.8695094443</v>
      </c>
      <c r="AX6" s="87">
        <v>17849.184000000001</v>
      </c>
      <c r="AY6" s="87">
        <v>19588.146490555726</v>
      </c>
      <c r="AZ6" s="91">
        <v>77650</v>
      </c>
      <c r="BA6" s="92">
        <v>10990.410000000002</v>
      </c>
      <c r="BB6" s="93">
        <f>BA6/AZ6</f>
        <v>0.14153779781068901</v>
      </c>
      <c r="BC6" s="91">
        <v>16594.079999999998</v>
      </c>
      <c r="BD6" s="91">
        <v>61055.92</v>
      </c>
      <c r="BE6" s="211">
        <v>0</v>
      </c>
      <c r="BF6" s="91">
        <f t="shared" ref="BF6:BF8" si="22">AZ6+BE6</f>
        <v>77650</v>
      </c>
      <c r="BG6" s="92">
        <f t="shared" ref="BG6:BG8" si="23">BF6*BB6</f>
        <v>10990.410000000002</v>
      </c>
      <c r="BH6" s="91">
        <v>16594.079999999998</v>
      </c>
      <c r="BI6" s="91">
        <v>61055.92</v>
      </c>
      <c r="BJ6" s="94">
        <f t="shared" ref="BJ6:BJ8" si="24">AV6+BG6</f>
        <v>20885.510000000002</v>
      </c>
      <c r="BK6" s="95">
        <v>3983</v>
      </c>
      <c r="BL6" s="95">
        <f t="shared" ref="BL6:BL8" si="25">BJ6+BK6</f>
        <v>24868.510000000002</v>
      </c>
      <c r="BM6" s="95"/>
      <c r="BN6" s="96"/>
    </row>
    <row r="7" spans="1:66" x14ac:dyDescent="0.25">
      <c r="A7" s="76">
        <v>4</v>
      </c>
      <c r="B7" s="603" t="s">
        <v>278</v>
      </c>
      <c r="C7" s="77" t="s">
        <v>483</v>
      </c>
      <c r="D7" s="77" t="s">
        <v>484</v>
      </c>
      <c r="E7" s="77" t="s">
        <v>485</v>
      </c>
      <c r="F7" s="77"/>
      <c r="G7" s="78">
        <v>548.5</v>
      </c>
      <c r="H7" s="79"/>
      <c r="I7" s="80"/>
      <c r="J7" s="81"/>
      <c r="K7" s="81"/>
      <c r="L7" s="82"/>
      <c r="M7" s="83"/>
      <c r="N7" s="84">
        <f t="shared" si="13"/>
        <v>137.70347614706773</v>
      </c>
      <c r="O7" s="85">
        <f t="shared" si="0"/>
        <v>17.715284108173808</v>
      </c>
      <c r="P7" s="207" t="s">
        <v>69</v>
      </c>
      <c r="Q7" s="87">
        <v>2765.6666666666661</v>
      </c>
      <c r="R7" s="86" t="s">
        <v>490</v>
      </c>
      <c r="S7" s="86">
        <v>27.31</v>
      </c>
      <c r="T7" s="88">
        <v>6896.1233333333321</v>
      </c>
      <c r="U7" s="87">
        <v>75530.356666666645</v>
      </c>
      <c r="V7" s="89">
        <v>0.82</v>
      </c>
      <c r="W7" s="207" t="s">
        <v>489</v>
      </c>
      <c r="X7" s="87">
        <v>0</v>
      </c>
      <c r="Y7" s="86" t="s">
        <v>489</v>
      </c>
      <c r="Z7" s="86">
        <v>0</v>
      </c>
      <c r="AA7" s="88">
        <v>0</v>
      </c>
      <c r="AB7" s="87">
        <v>0</v>
      </c>
      <c r="AC7" s="89">
        <v>0</v>
      </c>
      <c r="AD7" s="207" t="s">
        <v>489</v>
      </c>
      <c r="AE7" s="87">
        <v>0</v>
      </c>
      <c r="AF7" s="86" t="s">
        <v>489</v>
      </c>
      <c r="AG7" s="86">
        <v>0</v>
      </c>
      <c r="AH7" s="88">
        <v>0</v>
      </c>
      <c r="AI7" s="87">
        <v>0</v>
      </c>
      <c r="AJ7" s="89">
        <v>0</v>
      </c>
      <c r="AK7" s="208">
        <f t="shared" si="14"/>
        <v>75530.356666666645</v>
      </c>
      <c r="AL7" s="209">
        <f t="shared" si="15"/>
        <v>6896.12</v>
      </c>
      <c r="AM7" s="208">
        <f t="shared" si="16"/>
        <v>61934.892466666643</v>
      </c>
      <c r="AN7" s="210">
        <f t="shared" si="17"/>
        <v>0.11134466736519308</v>
      </c>
      <c r="AO7" s="208">
        <v>59473.822466666657</v>
      </c>
      <c r="AP7" s="208">
        <v>2461.0700000000002</v>
      </c>
      <c r="AQ7" s="208">
        <v>0</v>
      </c>
      <c r="AR7" s="206">
        <v>0</v>
      </c>
      <c r="AS7" s="87">
        <f t="shared" si="18"/>
        <v>75530.356666666645</v>
      </c>
      <c r="AT7" s="87">
        <f t="shared" si="19"/>
        <v>61934.892466666643</v>
      </c>
      <c r="AU7" s="90">
        <f t="shared" si="20"/>
        <v>0.11134466736519308</v>
      </c>
      <c r="AV7" s="88">
        <f t="shared" si="21"/>
        <v>6896.12</v>
      </c>
      <c r="AW7" s="87">
        <v>59473.822466666657</v>
      </c>
      <c r="AX7" s="87">
        <v>2461.0700000000002</v>
      </c>
      <c r="AY7" s="87">
        <v>0</v>
      </c>
      <c r="AZ7" s="91">
        <v>9716.8333333333339</v>
      </c>
      <c r="BA7" s="92">
        <v>1305.5040622280242</v>
      </c>
      <c r="BB7" s="93">
        <f t="shared" ref="BB7:BB8" si="26">BA7/AZ7</f>
        <v>0.13435488882468816</v>
      </c>
      <c r="BC7" s="91">
        <v>5619.22</v>
      </c>
      <c r="BD7" s="91">
        <v>4097.6133333333337</v>
      </c>
      <c r="BE7" s="211">
        <v>0</v>
      </c>
      <c r="BF7" s="91">
        <f t="shared" si="22"/>
        <v>9716.8333333333339</v>
      </c>
      <c r="BG7" s="92">
        <f t="shared" si="23"/>
        <v>1305.5040622280242</v>
      </c>
      <c r="BH7" s="91">
        <v>5619.22</v>
      </c>
      <c r="BI7" s="91">
        <v>4097.6133333333337</v>
      </c>
      <c r="BJ7" s="94">
        <f t="shared" si="24"/>
        <v>8201.6240622280238</v>
      </c>
      <c r="BK7" s="95">
        <v>1920</v>
      </c>
      <c r="BL7" s="95">
        <f t="shared" si="25"/>
        <v>10121.624062228024</v>
      </c>
      <c r="BM7" s="95"/>
      <c r="BN7" s="96"/>
    </row>
    <row r="8" spans="1:66" x14ac:dyDescent="0.25">
      <c r="A8" s="76">
        <v>5</v>
      </c>
      <c r="B8" s="603" t="s">
        <v>279</v>
      </c>
      <c r="C8" s="77" t="s">
        <v>475</v>
      </c>
      <c r="D8" s="77" t="s">
        <v>486</v>
      </c>
      <c r="E8" s="77" t="s">
        <v>487</v>
      </c>
      <c r="F8" s="77"/>
      <c r="G8" s="78">
        <v>630.5</v>
      </c>
      <c r="H8" s="79"/>
      <c r="I8" s="80"/>
      <c r="J8" s="81"/>
      <c r="K8" s="81"/>
      <c r="L8" s="82"/>
      <c r="M8" s="83"/>
      <c r="N8" s="84">
        <f t="shared" si="13"/>
        <v>156.38012159661645</v>
      </c>
      <c r="O8" s="85">
        <f t="shared" si="0"/>
        <v>95.508326724821572</v>
      </c>
      <c r="P8" s="207" t="s">
        <v>64</v>
      </c>
      <c r="Q8" s="87">
        <v>98597.666666666672</v>
      </c>
      <c r="R8" s="86" t="s">
        <v>13</v>
      </c>
      <c r="S8" s="86">
        <v>1</v>
      </c>
      <c r="T8" s="88">
        <v>5153.0133333333324</v>
      </c>
      <c r="U8" s="87">
        <v>98597.666666666672</v>
      </c>
      <c r="V8" s="89">
        <v>0.70051353480305478</v>
      </c>
      <c r="W8" s="207" t="s">
        <v>489</v>
      </c>
      <c r="X8" s="87">
        <v>0</v>
      </c>
      <c r="Y8" s="86" t="s">
        <v>489</v>
      </c>
      <c r="Z8" s="86">
        <v>0</v>
      </c>
      <c r="AA8" s="88">
        <v>0</v>
      </c>
      <c r="AB8" s="87">
        <v>0</v>
      </c>
      <c r="AC8" s="89">
        <v>0</v>
      </c>
      <c r="AD8" s="207" t="s">
        <v>489</v>
      </c>
      <c r="AE8" s="87">
        <v>0</v>
      </c>
      <c r="AF8" s="86" t="s">
        <v>489</v>
      </c>
      <c r="AG8" s="86">
        <v>0</v>
      </c>
      <c r="AH8" s="88">
        <v>0</v>
      </c>
      <c r="AI8" s="87">
        <v>0</v>
      </c>
      <c r="AJ8" s="89">
        <v>0</v>
      </c>
      <c r="AK8" s="208">
        <f t="shared" si="14"/>
        <v>98597.666666666672</v>
      </c>
      <c r="AL8" s="209">
        <f t="shared" si="15"/>
        <v>5153.01</v>
      </c>
      <c r="AM8" s="208">
        <f t="shared" si="16"/>
        <v>69069</v>
      </c>
      <c r="AN8" s="210">
        <f t="shared" si="17"/>
        <v>7.4606697650175913E-2</v>
      </c>
      <c r="AO8" s="208">
        <v>69069</v>
      </c>
      <c r="AP8" s="208">
        <v>0</v>
      </c>
      <c r="AQ8" s="208">
        <v>0</v>
      </c>
      <c r="AR8" s="206">
        <v>0</v>
      </c>
      <c r="AS8" s="87">
        <f t="shared" si="18"/>
        <v>98597.666666666672</v>
      </c>
      <c r="AT8" s="87">
        <f t="shared" si="19"/>
        <v>69069</v>
      </c>
      <c r="AU8" s="90">
        <f t="shared" si="20"/>
        <v>7.4606697650175913E-2</v>
      </c>
      <c r="AV8" s="88">
        <f t="shared" si="21"/>
        <v>5153.01</v>
      </c>
      <c r="AW8" s="87">
        <v>69069</v>
      </c>
      <c r="AX8" s="87">
        <v>0</v>
      </c>
      <c r="AY8" s="87">
        <v>0</v>
      </c>
      <c r="AZ8" s="91">
        <v>60218</v>
      </c>
      <c r="BA8" s="92">
        <v>6861.6356343207399</v>
      </c>
      <c r="BB8" s="93">
        <f t="shared" si="26"/>
        <v>0.11394658796905809</v>
      </c>
      <c r="BC8" s="91">
        <v>15404.654240000002</v>
      </c>
      <c r="BD8" s="91">
        <v>44813.345759999997</v>
      </c>
      <c r="BE8" s="211">
        <v>0</v>
      </c>
      <c r="BF8" s="91">
        <f t="shared" si="22"/>
        <v>60218</v>
      </c>
      <c r="BG8" s="92">
        <f t="shared" si="23"/>
        <v>6861.6356343207399</v>
      </c>
      <c r="BH8" s="91">
        <v>15404.654240000002</v>
      </c>
      <c r="BI8" s="91">
        <v>44813.345759999997</v>
      </c>
      <c r="BJ8" s="94">
        <f t="shared" si="24"/>
        <v>12014.645634320739</v>
      </c>
      <c r="BK8" s="95">
        <v>2207</v>
      </c>
      <c r="BL8" s="95">
        <f t="shared" si="25"/>
        <v>14221.645634320739</v>
      </c>
      <c r="BM8" s="95"/>
      <c r="BN8" s="96"/>
    </row>
    <row r="9" spans="1:66" x14ac:dyDescent="0.25">
      <c r="A9" s="76"/>
      <c r="B9" s="603"/>
      <c r="C9" s="77"/>
      <c r="D9" s="77"/>
      <c r="E9" s="77"/>
      <c r="F9" s="77"/>
      <c r="G9" s="78"/>
      <c r="H9" s="79"/>
      <c r="I9" s="80"/>
      <c r="J9" s="81"/>
      <c r="K9" s="81"/>
      <c r="L9" s="82"/>
      <c r="M9" s="83"/>
      <c r="N9" s="84"/>
      <c r="O9" s="85"/>
      <c r="P9" s="207"/>
      <c r="Q9" s="87"/>
      <c r="R9" s="86"/>
      <c r="S9" s="86"/>
      <c r="T9" s="88"/>
      <c r="U9" s="87"/>
      <c r="V9" s="89"/>
      <c r="W9" s="207"/>
      <c r="X9" s="87"/>
      <c r="Y9" s="86"/>
      <c r="Z9" s="86"/>
      <c r="AA9" s="88"/>
      <c r="AB9" s="87"/>
      <c r="AC9" s="89"/>
      <c r="AD9" s="207"/>
      <c r="AE9" s="87"/>
      <c r="AF9" s="86"/>
      <c r="AG9" s="86"/>
      <c r="AH9" s="88"/>
      <c r="AI9" s="87"/>
      <c r="AJ9" s="89"/>
      <c r="AK9" s="208"/>
      <c r="AL9" s="209"/>
      <c r="AM9" s="208"/>
      <c r="AN9" s="210"/>
      <c r="AO9" s="208"/>
      <c r="AP9" s="208"/>
      <c r="AQ9" s="208"/>
      <c r="AR9" s="206"/>
      <c r="AS9" s="87"/>
      <c r="AT9" s="87"/>
      <c r="AU9" s="90"/>
      <c r="AV9" s="88"/>
      <c r="AW9" s="87"/>
      <c r="AX9" s="87"/>
      <c r="AY9" s="87"/>
      <c r="AZ9" s="91"/>
      <c r="BA9" s="92"/>
      <c r="BB9" s="93"/>
      <c r="BC9" s="91"/>
      <c r="BD9" s="91"/>
      <c r="BE9" s="211"/>
      <c r="BF9" s="91"/>
      <c r="BG9" s="92"/>
      <c r="BH9" s="91"/>
      <c r="BI9" s="91"/>
      <c r="BJ9" s="94"/>
      <c r="BK9" s="95"/>
      <c r="BL9" s="95"/>
      <c r="BM9" s="95"/>
      <c r="BN9" s="96"/>
    </row>
    <row r="11" spans="1:66" x14ac:dyDescent="0.25">
      <c r="AK11" s="96"/>
      <c r="AL11" s="96"/>
      <c r="AS11" s="96"/>
      <c r="AV11" s="96"/>
      <c r="AZ11" s="96"/>
      <c r="BA11" s="623"/>
      <c r="BF11" s="96"/>
      <c r="BG11" s="623"/>
      <c r="BJ11" s="623"/>
      <c r="BK11" s="623"/>
      <c r="BL11" s="623"/>
    </row>
    <row r="12" spans="1:66" x14ac:dyDescent="0.25">
      <c r="B12" s="98"/>
      <c r="C12" s="622"/>
    </row>
    <row r="13" spans="1:66" x14ac:dyDescent="0.25">
      <c r="C13" s="622"/>
    </row>
    <row r="14" spans="1:66" x14ac:dyDescent="0.25">
      <c r="C14" s="622"/>
    </row>
  </sheetData>
  <mergeCells count="7">
    <mergeCell ref="A1:L1"/>
    <mergeCell ref="P1:AY1"/>
    <mergeCell ref="AZ1:BI1"/>
    <mergeCell ref="P2:V2"/>
    <mergeCell ref="W2:AC2"/>
    <mergeCell ref="AD2:AJ2"/>
    <mergeCell ref="AK2:AY2"/>
  </mergeCells>
  <phoneticPr fontId="47" type="noConversion"/>
  <pageMargins left="0.25" right="0.25" top="0.75" bottom="0.75" header="0.3" footer="0.3"/>
  <pageSetup paperSize="9" fitToWidth="0" orientation="landscape" r:id="rId1"/>
  <colBreaks count="3" manualBreakCount="3">
    <brk id="15" max="1048575" man="1"/>
    <brk id="51" max="8" man="1"/>
    <brk id="61" max="8"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tabColor theme="7" tint="-0.249977111117893"/>
    <pageSetUpPr fitToPage="1"/>
  </sheetPr>
  <dimension ref="B1:J18"/>
  <sheetViews>
    <sheetView workbookViewId="0">
      <selection activeCell="G24" sqref="G24"/>
    </sheetView>
  </sheetViews>
  <sheetFormatPr defaultColWidth="9.140625" defaultRowHeight="12.75" x14ac:dyDescent="0.2"/>
  <cols>
    <col min="1" max="1" width="9.140625" style="100"/>
    <col min="2" max="2" width="12.85546875" style="100" customWidth="1"/>
    <col min="3" max="3" width="35.28515625" style="100" customWidth="1"/>
    <col min="4" max="8" width="19.5703125" style="100" customWidth="1"/>
    <col min="9" max="9" width="32.5703125" style="100" customWidth="1"/>
    <col min="10" max="10" width="12.7109375" style="100" customWidth="1"/>
    <col min="11" max="16384" width="9.140625" style="100"/>
  </cols>
  <sheetData>
    <row r="1" spans="2:10" ht="18.75" x14ac:dyDescent="0.3">
      <c r="B1" s="99" t="s">
        <v>185</v>
      </c>
    </row>
    <row r="2" spans="2:10" ht="13.5" thickBot="1" x14ac:dyDescent="0.25"/>
    <row r="3" spans="2:10" ht="39" customHeight="1" thickBot="1" x14ac:dyDescent="0.35">
      <c r="B3" s="101" t="s">
        <v>74</v>
      </c>
      <c r="C3" s="102"/>
      <c r="D3" s="102"/>
      <c r="E3" s="103"/>
      <c r="F3" s="104"/>
      <c r="G3" s="659" t="s">
        <v>75</v>
      </c>
      <c r="H3" s="660"/>
    </row>
    <row r="4" spans="2:10" ht="16.5" thickBot="1" x14ac:dyDescent="0.25">
      <c r="B4" s="105" t="s">
        <v>15</v>
      </c>
      <c r="C4" s="106" t="s">
        <v>76</v>
      </c>
      <c r="D4" s="107" t="s">
        <v>77</v>
      </c>
      <c r="E4" s="661" t="s">
        <v>78</v>
      </c>
      <c r="F4" s="662"/>
      <c r="G4" s="663" t="s">
        <v>79</v>
      </c>
      <c r="H4" s="664"/>
    </row>
    <row r="5" spans="2:10" ht="15.75" x14ac:dyDescent="0.25">
      <c r="B5" s="108" t="s">
        <v>65</v>
      </c>
      <c r="C5" s="109" t="s">
        <v>80</v>
      </c>
      <c r="D5" s="110" t="s">
        <v>81</v>
      </c>
      <c r="E5" s="111">
        <v>10.06</v>
      </c>
      <c r="F5" s="112" t="s">
        <v>82</v>
      </c>
      <c r="G5" s="634">
        <f>'Referenčne količine'!T4/'Referenčne količine'!U4</f>
        <v>6.5296227940822418E-2</v>
      </c>
      <c r="H5" s="635" t="s">
        <v>12</v>
      </c>
      <c r="I5" s="100" t="s">
        <v>477</v>
      </c>
      <c r="J5" s="100" t="s">
        <v>473</v>
      </c>
    </row>
    <row r="6" spans="2:10" ht="15.75" x14ac:dyDescent="0.25">
      <c r="B6" s="114" t="s">
        <v>64</v>
      </c>
      <c r="C6" s="113" t="s">
        <v>83</v>
      </c>
      <c r="D6" s="114" t="s">
        <v>13</v>
      </c>
      <c r="E6" s="115">
        <v>1</v>
      </c>
      <c r="F6" s="633" t="s">
        <v>85</v>
      </c>
      <c r="G6" s="117">
        <f>'Referenčne količine'!T6/'Referenčne količine'!U6</f>
        <v>5.3219795369917194E-2</v>
      </c>
      <c r="H6" s="116" t="s">
        <v>12</v>
      </c>
      <c r="I6" s="100" t="s">
        <v>477</v>
      </c>
      <c r="J6" s="100" t="s">
        <v>474</v>
      </c>
    </row>
    <row r="7" spans="2:10" ht="15.75" x14ac:dyDescent="0.25">
      <c r="B7" s="114" t="s">
        <v>64</v>
      </c>
      <c r="C7" s="113" t="s">
        <v>83</v>
      </c>
      <c r="D7" s="114" t="s">
        <v>13</v>
      </c>
      <c r="E7" s="115">
        <v>1</v>
      </c>
      <c r="F7" s="633" t="s">
        <v>85</v>
      </c>
      <c r="G7" s="117">
        <f>'Referenčne količine'!T8/'Referenčne količine'!U8</f>
        <v>5.2263035298333621E-2</v>
      </c>
      <c r="H7" s="116" t="s">
        <v>12</v>
      </c>
      <c r="I7" s="100" t="s">
        <v>477</v>
      </c>
      <c r="J7" s="100" t="s">
        <v>475</v>
      </c>
    </row>
    <row r="8" spans="2:10" ht="15.75" x14ac:dyDescent="0.25">
      <c r="B8" s="114" t="s">
        <v>69</v>
      </c>
      <c r="C8" s="113" t="s">
        <v>84</v>
      </c>
      <c r="D8" s="114" t="s">
        <v>13</v>
      </c>
      <c r="E8" s="115">
        <v>1</v>
      </c>
      <c r="F8" s="633" t="s">
        <v>85</v>
      </c>
      <c r="G8" s="117">
        <f>'Referenčne količine'!T7/'Referenčne količine'!U7</f>
        <v>9.1302671371824157E-2</v>
      </c>
      <c r="H8" s="116"/>
      <c r="I8" s="100" t="s">
        <v>477</v>
      </c>
      <c r="J8" s="100" t="s">
        <v>476</v>
      </c>
    </row>
    <row r="9" spans="2:10" ht="15.75" x14ac:dyDescent="0.25">
      <c r="B9" s="114" t="s">
        <v>86</v>
      </c>
      <c r="C9" s="113" t="s">
        <v>142</v>
      </c>
      <c r="D9" s="114" t="s">
        <v>13</v>
      </c>
      <c r="E9" s="115">
        <v>1</v>
      </c>
      <c r="F9" s="633" t="s">
        <v>85</v>
      </c>
      <c r="G9" s="117">
        <v>0.09</v>
      </c>
      <c r="H9" s="116" t="s">
        <v>12</v>
      </c>
      <c r="I9" s="631" t="s">
        <v>478</v>
      </c>
    </row>
    <row r="10" spans="2:10" x14ac:dyDescent="0.2">
      <c r="I10" s="631"/>
    </row>
    <row r="11" spans="2:10" ht="15.75" x14ac:dyDescent="0.25">
      <c r="C11" s="614"/>
      <c r="I11" s="631"/>
    </row>
    <row r="12" spans="2:10" ht="22.5" x14ac:dyDescent="0.3">
      <c r="B12" s="118"/>
    </row>
    <row r="13" spans="2:10" ht="22.5" x14ac:dyDescent="0.3">
      <c r="B13" s="118"/>
    </row>
    <row r="14" spans="2:10" ht="21" customHeight="1" x14ac:dyDescent="0.2">
      <c r="B14" s="665" t="s">
        <v>457</v>
      </c>
      <c r="C14" s="665"/>
      <c r="D14" s="665"/>
      <c r="E14" s="665"/>
      <c r="F14" s="665"/>
      <c r="G14" s="665"/>
      <c r="H14" s="665"/>
      <c r="I14" s="119"/>
    </row>
    <row r="15" spans="2:10" ht="20.25" x14ac:dyDescent="0.2">
      <c r="C15" s="665" t="s">
        <v>456</v>
      </c>
      <c r="D15" s="665"/>
      <c r="E15" s="665"/>
      <c r="F15" s="665"/>
      <c r="G15" s="665"/>
      <c r="H15" s="665"/>
      <c r="I15" s="665"/>
    </row>
    <row r="18" spans="7:7" x14ac:dyDescent="0.2">
      <c r="G18" s="632"/>
    </row>
  </sheetData>
  <mergeCells count="5">
    <mergeCell ref="G3:H3"/>
    <mergeCell ref="E4:F4"/>
    <mergeCell ref="G4:H4"/>
    <mergeCell ref="B14:H14"/>
    <mergeCell ref="C15:I15"/>
  </mergeCells>
  <phoneticPr fontId="47" type="noConversion"/>
  <pageMargins left="0.7" right="0.7" top="0.75" bottom="0.75" header="0.3" footer="0.3"/>
  <pageSetup paperSize="9" scale="6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26E2B-3073-41BD-AF38-721895C4630E}">
  <sheetPr codeName="List6">
    <tabColor rgb="FF92D050"/>
  </sheetPr>
  <dimension ref="A1:I64"/>
  <sheetViews>
    <sheetView workbookViewId="0">
      <selection activeCell="I10" sqref="I10"/>
    </sheetView>
  </sheetViews>
  <sheetFormatPr defaultColWidth="9.140625" defaultRowHeight="15" x14ac:dyDescent="0.25"/>
  <cols>
    <col min="1" max="1" width="53.42578125" style="122" customWidth="1"/>
    <col min="2" max="2" width="19.140625" style="121" customWidth="1"/>
    <col min="3" max="8" width="17.140625" style="121" customWidth="1"/>
    <col min="9" max="9" width="38.5703125" style="122" customWidth="1"/>
    <col min="10" max="16384" width="9.140625" style="122"/>
  </cols>
  <sheetData>
    <row r="1" spans="1:9" ht="22.5" x14ac:dyDescent="0.25">
      <c r="A1" s="120" t="s">
        <v>87</v>
      </c>
    </row>
    <row r="3" spans="1:9" x14ac:dyDescent="0.25">
      <c r="A3" s="122" t="s">
        <v>88</v>
      </c>
    </row>
    <row r="5" spans="1:9" ht="73.5" x14ac:dyDescent="0.25">
      <c r="A5" s="123" t="s">
        <v>89</v>
      </c>
      <c r="B5" s="124" t="s">
        <v>90</v>
      </c>
      <c r="C5" s="124" t="s">
        <v>91</v>
      </c>
      <c r="D5" s="124" t="s">
        <v>92</v>
      </c>
      <c r="E5" s="124" t="s">
        <v>93</v>
      </c>
      <c r="F5" s="124" t="s">
        <v>240</v>
      </c>
      <c r="G5" s="124" t="s">
        <v>241</v>
      </c>
      <c r="H5" s="124" t="s">
        <v>94</v>
      </c>
      <c r="I5" s="125" t="s">
        <v>95</v>
      </c>
    </row>
    <row r="6" spans="1:9" x14ac:dyDescent="0.25">
      <c r="A6" s="126" t="s">
        <v>96</v>
      </c>
      <c r="B6" s="127">
        <v>0.5</v>
      </c>
      <c r="C6" s="127">
        <v>21</v>
      </c>
      <c r="D6" s="127" t="s">
        <v>97</v>
      </c>
      <c r="E6" s="127" t="s">
        <v>98</v>
      </c>
      <c r="F6" s="127">
        <v>1667</v>
      </c>
      <c r="G6" s="127">
        <v>10.1</v>
      </c>
      <c r="H6" s="127">
        <v>300</v>
      </c>
      <c r="I6" s="128"/>
    </row>
    <row r="7" spans="1:9" x14ac:dyDescent="0.25">
      <c r="A7" s="129" t="s">
        <v>99</v>
      </c>
      <c r="B7" s="130">
        <v>0.5</v>
      </c>
      <c r="C7" s="130">
        <v>23</v>
      </c>
      <c r="D7" s="130" t="str">
        <f>D6</f>
        <v>± 2</v>
      </c>
      <c r="E7" s="130" t="s">
        <v>98</v>
      </c>
      <c r="F7" s="130">
        <v>1667</v>
      </c>
      <c r="G7" s="130">
        <v>10.1</v>
      </c>
      <c r="H7" s="130">
        <v>300</v>
      </c>
      <c r="I7" s="131" t="s">
        <v>100</v>
      </c>
    </row>
    <row r="8" spans="1:9" x14ac:dyDescent="0.25">
      <c r="A8" s="126" t="s">
        <v>101</v>
      </c>
      <c r="B8" s="127">
        <v>0.5</v>
      </c>
      <c r="C8" s="127">
        <v>20</v>
      </c>
      <c r="D8" s="127" t="str">
        <f t="shared" ref="D8:D19" si="0">D7</f>
        <v>± 2</v>
      </c>
      <c r="E8" s="127" t="s">
        <v>98</v>
      </c>
      <c r="F8" s="127">
        <v>1667</v>
      </c>
      <c r="G8" s="127"/>
      <c r="H8" s="127">
        <v>300</v>
      </c>
      <c r="I8" s="128"/>
    </row>
    <row r="9" spans="1:9" x14ac:dyDescent="0.25">
      <c r="A9" s="129" t="s">
        <v>102</v>
      </c>
      <c r="B9" s="130"/>
      <c r="C9" s="130">
        <v>21</v>
      </c>
      <c r="D9" s="130" t="str">
        <f t="shared" si="0"/>
        <v>± 2</v>
      </c>
      <c r="E9" s="130" t="s">
        <v>98</v>
      </c>
      <c r="F9" s="130">
        <v>1667</v>
      </c>
      <c r="G9" s="130"/>
      <c r="H9" s="130">
        <v>300</v>
      </c>
      <c r="I9" s="131"/>
    </row>
    <row r="10" spans="1:9" x14ac:dyDescent="0.25">
      <c r="A10" s="126" t="s">
        <v>103</v>
      </c>
      <c r="B10" s="127">
        <v>0.5</v>
      </c>
      <c r="C10" s="127">
        <v>21</v>
      </c>
      <c r="D10" s="127" t="str">
        <f t="shared" si="0"/>
        <v>± 2</v>
      </c>
      <c r="E10" s="127" t="s">
        <v>98</v>
      </c>
      <c r="F10" s="127">
        <v>1667</v>
      </c>
      <c r="G10" s="127">
        <v>8.6</v>
      </c>
      <c r="H10" s="127">
        <v>300</v>
      </c>
      <c r="I10" s="128" t="s">
        <v>239</v>
      </c>
    </row>
    <row r="11" spans="1:9" x14ac:dyDescent="0.25">
      <c r="A11" s="129" t="s">
        <v>104</v>
      </c>
      <c r="B11" s="130">
        <v>0.5</v>
      </c>
      <c r="C11" s="130">
        <v>19</v>
      </c>
      <c r="D11" s="130" t="str">
        <f>D10</f>
        <v>± 2</v>
      </c>
      <c r="E11" s="130" t="s">
        <v>98</v>
      </c>
      <c r="F11" s="130">
        <v>1667</v>
      </c>
      <c r="G11" s="130"/>
      <c r="H11" s="130">
        <v>300</v>
      </c>
      <c r="I11" s="131"/>
    </row>
    <row r="12" spans="1:9" x14ac:dyDescent="0.25">
      <c r="A12" s="126" t="s">
        <v>105</v>
      </c>
      <c r="B12" s="127">
        <v>1</v>
      </c>
      <c r="C12" s="127">
        <v>21</v>
      </c>
      <c r="D12" s="127" t="str">
        <f t="shared" si="0"/>
        <v>± 2</v>
      </c>
      <c r="E12" s="127" t="s">
        <v>98</v>
      </c>
      <c r="F12" s="127">
        <v>1667</v>
      </c>
      <c r="G12" s="127"/>
      <c r="H12" s="127">
        <v>300</v>
      </c>
      <c r="I12" s="128"/>
    </row>
    <row r="13" spans="1:9" x14ac:dyDescent="0.25">
      <c r="A13" s="129" t="s">
        <v>106</v>
      </c>
      <c r="B13" s="130">
        <v>0.5</v>
      </c>
      <c r="C13" s="130">
        <v>24</v>
      </c>
      <c r="D13" s="130" t="str">
        <f t="shared" si="0"/>
        <v>± 2</v>
      </c>
      <c r="E13" s="130" t="s">
        <v>98</v>
      </c>
      <c r="F13" s="130">
        <v>1667</v>
      </c>
      <c r="G13" s="130"/>
      <c r="H13" s="130">
        <v>200</v>
      </c>
      <c r="I13" s="131"/>
    </row>
    <row r="14" spans="1:9" x14ac:dyDescent="0.25">
      <c r="A14" s="126" t="s">
        <v>107</v>
      </c>
      <c r="B14" s="127"/>
      <c r="C14" s="127">
        <v>18</v>
      </c>
      <c r="D14" s="127" t="str">
        <f t="shared" si="0"/>
        <v>± 2</v>
      </c>
      <c r="E14" s="127" t="s">
        <v>98</v>
      </c>
      <c r="F14" s="127">
        <v>1667</v>
      </c>
      <c r="G14" s="127"/>
      <c r="H14" s="127">
        <v>200</v>
      </c>
      <c r="I14" s="128"/>
    </row>
    <row r="15" spans="1:9" x14ac:dyDescent="0.25">
      <c r="A15" s="129" t="s">
        <v>108</v>
      </c>
      <c r="B15" s="130">
        <v>0.1</v>
      </c>
      <c r="C15" s="130">
        <v>21</v>
      </c>
      <c r="D15" s="130" t="str">
        <f t="shared" si="0"/>
        <v>± 2</v>
      </c>
      <c r="E15" s="130" t="s">
        <v>98</v>
      </c>
      <c r="F15" s="130">
        <v>1667</v>
      </c>
      <c r="G15" s="130">
        <v>2.5</v>
      </c>
      <c r="H15" s="130">
        <v>500</v>
      </c>
      <c r="I15" s="131"/>
    </row>
    <row r="16" spans="1:9" x14ac:dyDescent="0.25">
      <c r="A16" s="126" t="s">
        <v>109</v>
      </c>
      <c r="B16" s="127">
        <v>1</v>
      </c>
      <c r="C16" s="127">
        <v>20</v>
      </c>
      <c r="D16" s="127" t="str">
        <f t="shared" si="0"/>
        <v>± 2</v>
      </c>
      <c r="E16" s="127" t="s">
        <v>98</v>
      </c>
      <c r="F16" s="127">
        <v>1667</v>
      </c>
      <c r="G16" s="127" t="s">
        <v>233</v>
      </c>
      <c r="H16" s="127">
        <v>200</v>
      </c>
      <c r="I16" s="128"/>
    </row>
    <row r="17" spans="1:9" x14ac:dyDescent="0.25">
      <c r="A17" s="129" t="s">
        <v>110</v>
      </c>
      <c r="B17" s="130">
        <v>0.5</v>
      </c>
      <c r="C17" s="130" t="s">
        <v>111</v>
      </c>
      <c r="D17" s="130" t="str">
        <f t="shared" si="0"/>
        <v>± 2</v>
      </c>
      <c r="E17" s="130" t="s">
        <v>112</v>
      </c>
      <c r="F17" s="130">
        <v>1667</v>
      </c>
      <c r="G17" s="130" t="s">
        <v>233</v>
      </c>
      <c r="H17" s="130">
        <v>300</v>
      </c>
      <c r="I17" s="63" t="s">
        <v>234</v>
      </c>
    </row>
    <row r="18" spans="1:9" x14ac:dyDescent="0.25">
      <c r="A18" s="126" t="s">
        <v>235</v>
      </c>
      <c r="B18" s="127"/>
      <c r="C18" s="127">
        <v>24</v>
      </c>
      <c r="D18" s="127" t="str">
        <f t="shared" si="0"/>
        <v>± 2</v>
      </c>
      <c r="E18" s="127" t="s">
        <v>98</v>
      </c>
      <c r="F18" s="127">
        <v>1667</v>
      </c>
      <c r="G18" s="127" t="s">
        <v>233</v>
      </c>
      <c r="H18" s="127">
        <v>300</v>
      </c>
      <c r="I18" s="132"/>
    </row>
    <row r="19" spans="1:9" x14ac:dyDescent="0.25">
      <c r="A19" s="133" t="s">
        <v>113</v>
      </c>
      <c r="B19" s="134">
        <v>0.1</v>
      </c>
      <c r="C19" s="134">
        <v>18</v>
      </c>
      <c r="D19" s="134" t="str">
        <f t="shared" si="0"/>
        <v>± 2</v>
      </c>
      <c r="E19" s="134" t="s">
        <v>98</v>
      </c>
      <c r="F19" s="134">
        <v>1667</v>
      </c>
      <c r="G19" s="134"/>
      <c r="H19" s="134">
        <v>150</v>
      </c>
      <c r="I19" s="135"/>
    </row>
    <row r="21" spans="1:9" x14ac:dyDescent="0.25">
      <c r="A21" s="122" t="s">
        <v>114</v>
      </c>
    </row>
    <row r="22" spans="1:9" ht="28.5" x14ac:dyDescent="0.25">
      <c r="A22" s="123" t="s">
        <v>115</v>
      </c>
      <c r="B22" s="125" t="s">
        <v>116</v>
      </c>
    </row>
    <row r="23" spans="1:9" ht="38.25" customHeight="1" x14ac:dyDescent="0.25">
      <c r="A23" s="136" t="s">
        <v>117</v>
      </c>
      <c r="B23" s="137">
        <v>50</v>
      </c>
      <c r="D23" s="121" t="s">
        <v>118</v>
      </c>
    </row>
    <row r="25" spans="1:9" x14ac:dyDescent="0.25">
      <c r="A25" s="122" t="s">
        <v>119</v>
      </c>
    </row>
    <row r="26" spans="1:9" x14ac:dyDescent="0.25">
      <c r="A26" s="122" t="s">
        <v>120</v>
      </c>
    </row>
    <row r="27" spans="1:9" x14ac:dyDescent="0.25">
      <c r="A27" s="122" t="s">
        <v>121</v>
      </c>
    </row>
    <row r="28" spans="1:9" x14ac:dyDescent="0.25">
      <c r="A28" s="122" t="s">
        <v>236</v>
      </c>
    </row>
    <row r="29" spans="1:9" x14ac:dyDescent="0.25">
      <c r="A29" s="138" t="s">
        <v>122</v>
      </c>
    </row>
    <row r="31" spans="1:9" x14ac:dyDescent="0.25">
      <c r="A31" s="138" t="s">
        <v>123</v>
      </c>
    </row>
    <row r="32" spans="1:9" x14ac:dyDescent="0.25">
      <c r="A32" s="139" t="s">
        <v>124</v>
      </c>
      <c r="B32" s="140"/>
      <c r="C32" s="140"/>
      <c r="D32" s="140"/>
      <c r="E32" s="140"/>
      <c r="F32" s="140"/>
      <c r="G32" s="140"/>
      <c r="H32" s="140"/>
      <c r="I32" s="139"/>
    </row>
    <row r="33" spans="1:9" x14ac:dyDescent="0.25">
      <c r="A33" s="139" t="s">
        <v>125</v>
      </c>
      <c r="B33" s="140"/>
      <c r="C33" s="140"/>
      <c r="D33" s="140"/>
      <c r="E33" s="140"/>
      <c r="F33" s="140"/>
      <c r="G33" s="140"/>
      <c r="H33" s="140"/>
      <c r="I33" s="139"/>
    </row>
    <row r="34" spans="1:9" ht="39" customHeight="1" x14ac:dyDescent="0.25">
      <c r="A34" s="666" t="s">
        <v>242</v>
      </c>
      <c r="B34" s="666"/>
      <c r="C34" s="666"/>
      <c r="D34" s="666"/>
      <c r="E34" s="666"/>
      <c r="F34" s="666"/>
      <c r="G34" s="666"/>
      <c r="H34" s="666"/>
      <c r="I34" s="666"/>
    </row>
    <row r="35" spans="1:9" x14ac:dyDescent="0.25">
      <c r="A35" s="139" t="s">
        <v>243</v>
      </c>
      <c r="B35" s="140"/>
      <c r="C35" s="140"/>
      <c r="D35" s="140"/>
      <c r="E35" s="140"/>
      <c r="F35" s="140"/>
      <c r="G35" s="140"/>
      <c r="H35" s="140"/>
      <c r="I35" s="139"/>
    </row>
    <row r="36" spans="1:9" ht="39.75" customHeight="1" x14ac:dyDescent="0.25">
      <c r="A36" s="666" t="s">
        <v>126</v>
      </c>
      <c r="B36" s="666"/>
      <c r="C36" s="666"/>
      <c r="D36" s="666"/>
      <c r="E36" s="666"/>
      <c r="F36" s="666"/>
      <c r="G36" s="666"/>
      <c r="H36" s="666"/>
      <c r="I36" s="666"/>
    </row>
    <row r="37" spans="1:9" ht="52.5" customHeight="1" x14ac:dyDescent="0.25">
      <c r="A37" s="666" t="s">
        <v>127</v>
      </c>
      <c r="B37" s="666"/>
      <c r="C37" s="666"/>
      <c r="D37" s="666"/>
      <c r="E37" s="666"/>
      <c r="F37" s="666"/>
      <c r="G37" s="666"/>
      <c r="H37" s="666"/>
      <c r="I37" s="666"/>
    </row>
    <row r="38" spans="1:9" ht="39.75" customHeight="1" x14ac:dyDescent="0.25">
      <c r="A38" s="666" t="s">
        <v>128</v>
      </c>
      <c r="B38" s="666"/>
      <c r="C38" s="666"/>
      <c r="D38" s="666"/>
      <c r="E38" s="666"/>
      <c r="F38" s="666"/>
      <c r="G38" s="666"/>
      <c r="H38" s="666"/>
      <c r="I38" s="666"/>
    </row>
    <row r="39" spans="1:9" x14ac:dyDescent="0.25">
      <c r="A39" s="667" t="s">
        <v>129</v>
      </c>
      <c r="B39" s="667"/>
      <c r="C39" s="667"/>
      <c r="D39" s="667"/>
      <c r="E39" s="667"/>
      <c r="F39" s="667"/>
      <c r="G39" s="667"/>
      <c r="H39" s="667"/>
      <c r="I39" s="667"/>
    </row>
    <row r="41" spans="1:9" x14ac:dyDescent="0.25">
      <c r="A41" s="138" t="s">
        <v>237</v>
      </c>
    </row>
    <row r="42" spans="1:9" x14ac:dyDescent="0.25">
      <c r="A42" s="141" t="s">
        <v>238</v>
      </c>
    </row>
    <row r="44" spans="1:9" ht="30.75" x14ac:dyDescent="0.25">
      <c r="A44" s="123" t="s">
        <v>244</v>
      </c>
      <c r="B44" s="124" t="s">
        <v>245</v>
      </c>
      <c r="C44" s="124" t="s">
        <v>246</v>
      </c>
      <c r="D44" s="124" t="s">
        <v>247</v>
      </c>
      <c r="E44" s="125" t="s">
        <v>248</v>
      </c>
    </row>
    <row r="45" spans="1:9" x14ac:dyDescent="0.25">
      <c r="A45" s="126"/>
      <c r="B45" s="142"/>
      <c r="C45" s="142"/>
      <c r="D45" s="142"/>
      <c r="E45" s="132"/>
    </row>
    <row r="46" spans="1:9" x14ac:dyDescent="0.25">
      <c r="A46" s="143" t="s">
        <v>249</v>
      </c>
      <c r="B46" s="144"/>
      <c r="C46" s="130"/>
      <c r="D46" s="130"/>
      <c r="E46" s="145"/>
    </row>
    <row r="47" spans="1:9" x14ac:dyDescent="0.25">
      <c r="A47" s="126" t="s">
        <v>250</v>
      </c>
      <c r="B47" s="127">
        <v>300</v>
      </c>
      <c r="C47" s="127">
        <v>19</v>
      </c>
      <c r="D47" s="146">
        <v>0.6</v>
      </c>
      <c r="E47" s="147">
        <v>80</v>
      </c>
    </row>
    <row r="48" spans="1:9" x14ac:dyDescent="0.25">
      <c r="A48" s="129" t="s">
        <v>251</v>
      </c>
      <c r="B48" s="130">
        <v>500</v>
      </c>
      <c r="C48" s="130">
        <v>19</v>
      </c>
      <c r="D48" s="148">
        <v>0.6</v>
      </c>
      <c r="E48" s="145">
        <v>80</v>
      </c>
    </row>
    <row r="49" spans="1:5" x14ac:dyDescent="0.25">
      <c r="A49" s="126" t="s">
        <v>252</v>
      </c>
      <c r="B49" s="127">
        <v>500</v>
      </c>
      <c r="C49" s="127">
        <v>19</v>
      </c>
      <c r="D49" s="146">
        <v>0.6</v>
      </c>
      <c r="E49" s="147">
        <v>80</v>
      </c>
    </row>
    <row r="50" spans="1:5" x14ac:dyDescent="0.25">
      <c r="A50" s="129" t="s">
        <v>253</v>
      </c>
      <c r="B50" s="130">
        <v>500</v>
      </c>
      <c r="C50" s="130">
        <v>19</v>
      </c>
      <c r="D50" s="148">
        <v>0.7</v>
      </c>
      <c r="E50" s="145">
        <v>80</v>
      </c>
    </row>
    <row r="51" spans="1:5" x14ac:dyDescent="0.25">
      <c r="A51" s="126" t="s">
        <v>254</v>
      </c>
      <c r="B51" s="127">
        <v>200</v>
      </c>
      <c r="C51" s="127">
        <v>22</v>
      </c>
      <c r="D51" s="146">
        <v>0.4</v>
      </c>
      <c r="E51" s="147">
        <v>80</v>
      </c>
    </row>
    <row r="52" spans="1:5" x14ac:dyDescent="0.25">
      <c r="A52" s="129" t="s">
        <v>255</v>
      </c>
      <c r="B52" s="130">
        <v>100</v>
      </c>
      <c r="C52" s="130">
        <v>25</v>
      </c>
      <c r="D52" s="148">
        <v>0.4</v>
      </c>
      <c r="E52" s="145">
        <v>80</v>
      </c>
    </row>
    <row r="53" spans="1:5" x14ac:dyDescent="0.25">
      <c r="A53" s="126" t="s">
        <v>256</v>
      </c>
      <c r="B53" s="127">
        <v>300</v>
      </c>
      <c r="C53" s="127">
        <v>19</v>
      </c>
      <c r="D53" s="146">
        <v>0.6</v>
      </c>
      <c r="E53" s="147">
        <v>80</v>
      </c>
    </row>
    <row r="54" spans="1:5" x14ac:dyDescent="0.25">
      <c r="A54" s="129" t="s">
        <v>257</v>
      </c>
      <c r="B54" s="130">
        <v>200</v>
      </c>
      <c r="C54" s="130">
        <v>19</v>
      </c>
      <c r="D54" s="148">
        <v>0.6</v>
      </c>
      <c r="E54" s="145">
        <v>80</v>
      </c>
    </row>
    <row r="55" spans="1:5" x14ac:dyDescent="0.25">
      <c r="A55" s="126" t="s">
        <v>258</v>
      </c>
      <c r="B55" s="127">
        <v>500</v>
      </c>
      <c r="C55" s="127">
        <v>19</v>
      </c>
      <c r="D55" s="146">
        <v>0.6</v>
      </c>
      <c r="E55" s="147">
        <v>80</v>
      </c>
    </row>
    <row r="56" spans="1:5" x14ac:dyDescent="0.25">
      <c r="A56" s="129" t="s">
        <v>259</v>
      </c>
      <c r="B56" s="130">
        <v>100</v>
      </c>
      <c r="C56" s="130">
        <v>25</v>
      </c>
      <c r="D56" s="148">
        <v>0.4</v>
      </c>
      <c r="E56" s="145">
        <v>80</v>
      </c>
    </row>
    <row r="57" spans="1:5" x14ac:dyDescent="0.25">
      <c r="A57" s="126" t="s">
        <v>260</v>
      </c>
      <c r="B57" s="127">
        <v>300</v>
      </c>
      <c r="C57" s="127">
        <v>22</v>
      </c>
      <c r="D57" s="146">
        <v>0.6</v>
      </c>
      <c r="E57" s="147">
        <v>80</v>
      </c>
    </row>
    <row r="58" spans="1:5" x14ac:dyDescent="0.25">
      <c r="A58" s="129" t="s">
        <v>261</v>
      </c>
      <c r="B58" s="130">
        <v>200</v>
      </c>
      <c r="C58" s="130">
        <v>22</v>
      </c>
      <c r="D58" s="148">
        <v>0.4</v>
      </c>
      <c r="E58" s="145">
        <v>80</v>
      </c>
    </row>
    <row r="59" spans="1:5" x14ac:dyDescent="0.25">
      <c r="A59" s="126" t="s">
        <v>262</v>
      </c>
      <c r="B59" s="127">
        <v>500</v>
      </c>
      <c r="C59" s="127">
        <v>22</v>
      </c>
      <c r="D59" s="146">
        <v>0.6</v>
      </c>
      <c r="E59" s="147">
        <v>80</v>
      </c>
    </row>
    <row r="60" spans="1:5" x14ac:dyDescent="0.25">
      <c r="A60" s="129"/>
      <c r="B60" s="130"/>
      <c r="C60" s="130"/>
      <c r="D60" s="130"/>
      <c r="E60" s="145"/>
    </row>
    <row r="61" spans="1:5" x14ac:dyDescent="0.25">
      <c r="A61" s="149" t="s">
        <v>263</v>
      </c>
      <c r="B61" s="127"/>
      <c r="C61" s="127"/>
      <c r="D61" s="127"/>
      <c r="E61" s="147"/>
    </row>
    <row r="62" spans="1:5" x14ac:dyDescent="0.25">
      <c r="A62" s="129" t="s">
        <v>264</v>
      </c>
      <c r="B62" s="130">
        <v>300</v>
      </c>
      <c r="C62" s="130">
        <v>22</v>
      </c>
      <c r="D62" s="148">
        <v>0.4</v>
      </c>
      <c r="E62" s="145">
        <v>80</v>
      </c>
    </row>
    <row r="63" spans="1:5" x14ac:dyDescent="0.25">
      <c r="A63" s="126" t="s">
        <v>265</v>
      </c>
      <c r="B63" s="127">
        <v>300</v>
      </c>
      <c r="C63" s="127">
        <v>22</v>
      </c>
      <c r="D63" s="146">
        <v>0.4</v>
      </c>
      <c r="E63" s="147">
        <v>80</v>
      </c>
    </row>
    <row r="64" spans="1:5" x14ac:dyDescent="0.25">
      <c r="A64" s="133" t="s">
        <v>266</v>
      </c>
      <c r="B64" s="134">
        <v>300</v>
      </c>
      <c r="C64" s="134">
        <v>22</v>
      </c>
      <c r="D64" s="150">
        <v>0.6</v>
      </c>
      <c r="E64" s="151">
        <v>80</v>
      </c>
    </row>
  </sheetData>
  <mergeCells count="5">
    <mergeCell ref="A34:I34"/>
    <mergeCell ref="A36:I36"/>
    <mergeCell ref="A37:I37"/>
    <mergeCell ref="A38:I38"/>
    <mergeCell ref="A39:I39"/>
  </mergeCells>
  <pageMargins left="0.23622047244094491" right="0.23622047244094491" top="0.74803149606299213" bottom="0.74803149606299213" header="0.31496062992125984" footer="0.31496062992125984"/>
  <pageSetup paperSize="8" scale="9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3">
    <tabColor rgb="FF92D050"/>
  </sheetPr>
  <dimension ref="A1:B29"/>
  <sheetViews>
    <sheetView workbookViewId="0"/>
  </sheetViews>
  <sheetFormatPr defaultColWidth="9.140625" defaultRowHeight="15" x14ac:dyDescent="0.25"/>
  <cols>
    <col min="1" max="1" width="3.42578125" style="154" customWidth="1"/>
    <col min="2" max="2" width="82.5703125" style="154" customWidth="1"/>
    <col min="3" max="16384" width="9.140625" style="154"/>
  </cols>
  <sheetData>
    <row r="1" spans="1:2" ht="37.5" x14ac:dyDescent="0.25">
      <c r="A1" s="152" t="s">
        <v>54</v>
      </c>
      <c r="B1" s="153" t="s">
        <v>267</v>
      </c>
    </row>
    <row r="2" spans="1:2" ht="27.75" customHeight="1" x14ac:dyDescent="0.25">
      <c r="B2" s="155"/>
    </row>
    <row r="3" spans="1:2" x14ac:dyDescent="0.25">
      <c r="B3" s="156" t="s">
        <v>1</v>
      </c>
    </row>
    <row r="4" spans="1:2" x14ac:dyDescent="0.25">
      <c r="B4" s="155"/>
    </row>
    <row r="5" spans="1:2" x14ac:dyDescent="0.25">
      <c r="B5" s="157" t="s">
        <v>0</v>
      </c>
    </row>
    <row r="6" spans="1:2" ht="7.5" customHeight="1" x14ac:dyDescent="0.25">
      <c r="B6" s="157"/>
    </row>
    <row r="7" spans="1:2" ht="30" x14ac:dyDescent="0.25">
      <c r="B7" s="157" t="s">
        <v>50</v>
      </c>
    </row>
    <row r="8" spans="1:2" ht="7.5" customHeight="1" x14ac:dyDescent="0.25">
      <c r="B8" s="157"/>
    </row>
    <row r="9" spans="1:2" ht="45" x14ac:dyDescent="0.25">
      <c r="B9" s="157" t="s">
        <v>51</v>
      </c>
    </row>
    <row r="10" spans="1:2" ht="7.5" customHeight="1" x14ac:dyDescent="0.25">
      <c r="B10" s="157"/>
    </row>
    <row r="11" spans="1:2" ht="45" x14ac:dyDescent="0.25">
      <c r="B11" s="157" t="s">
        <v>52</v>
      </c>
    </row>
    <row r="12" spans="1:2" ht="7.5" customHeight="1" x14ac:dyDescent="0.25">
      <c r="B12" s="157"/>
    </row>
    <row r="13" spans="1:2" ht="30" x14ac:dyDescent="0.25">
      <c r="B13" s="158" t="s">
        <v>268</v>
      </c>
    </row>
    <row r="14" spans="1:2" ht="7.5" customHeight="1" x14ac:dyDescent="0.25">
      <c r="B14" s="157"/>
    </row>
    <row r="15" spans="1:2" ht="45" x14ac:dyDescent="0.25">
      <c r="B15" s="157" t="s">
        <v>269</v>
      </c>
    </row>
    <row r="16" spans="1:2" ht="7.5" customHeight="1" x14ac:dyDescent="0.25">
      <c r="B16" s="157"/>
    </row>
    <row r="17" spans="2:2" ht="45" x14ac:dyDescent="0.25">
      <c r="B17" s="157" t="s">
        <v>58</v>
      </c>
    </row>
    <row r="18" spans="2:2" ht="7.5" customHeight="1" x14ac:dyDescent="0.25">
      <c r="B18" s="157"/>
    </row>
    <row r="19" spans="2:2" ht="45" x14ac:dyDescent="0.25">
      <c r="B19" s="157" t="s">
        <v>59</v>
      </c>
    </row>
    <row r="20" spans="2:2" ht="7.5" customHeight="1" x14ac:dyDescent="0.25">
      <c r="B20" s="157"/>
    </row>
    <row r="21" spans="2:2" ht="30" x14ac:dyDescent="0.25">
      <c r="B21" s="157" t="s">
        <v>270</v>
      </c>
    </row>
    <row r="22" spans="2:2" x14ac:dyDescent="0.25">
      <c r="B22" s="159" t="s">
        <v>271</v>
      </c>
    </row>
    <row r="23" spans="2:2" x14ac:dyDescent="0.25">
      <c r="B23" s="159" t="s">
        <v>272</v>
      </c>
    </row>
    <row r="24" spans="2:2" ht="7.5" customHeight="1" x14ac:dyDescent="0.25">
      <c r="B24" s="157"/>
    </row>
    <row r="25" spans="2:2" x14ac:dyDescent="0.25">
      <c r="B25" s="157" t="s">
        <v>273</v>
      </c>
    </row>
    <row r="26" spans="2:2" ht="7.5" customHeight="1" x14ac:dyDescent="0.25">
      <c r="B26" s="157"/>
    </row>
    <row r="27" spans="2:2" ht="30" x14ac:dyDescent="0.25">
      <c r="B27" s="157" t="s">
        <v>274</v>
      </c>
    </row>
    <row r="28" spans="2:2" ht="7.5" customHeight="1" x14ac:dyDescent="0.25">
      <c r="B28" s="157"/>
    </row>
    <row r="29" spans="2:2" x14ac:dyDescent="0.25">
      <c r="B29" s="157" t="s">
        <v>232</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theme="6"/>
  </sheetPr>
  <dimension ref="A1:B43"/>
  <sheetViews>
    <sheetView topLeftCell="A7" workbookViewId="0"/>
  </sheetViews>
  <sheetFormatPr defaultColWidth="9.140625" defaultRowHeight="15" x14ac:dyDescent="0.25"/>
  <cols>
    <col min="1" max="1" width="8.140625" style="64" customWidth="1"/>
    <col min="2" max="2" width="86" style="64" customWidth="1"/>
    <col min="3" max="16384" width="9.140625" style="64"/>
  </cols>
  <sheetData>
    <row r="1" spans="1:2" ht="36" customHeight="1" x14ac:dyDescent="0.25">
      <c r="A1" s="160" t="s">
        <v>130</v>
      </c>
      <c r="B1" s="160" t="s">
        <v>49</v>
      </c>
    </row>
    <row r="3" spans="1:2" x14ac:dyDescent="0.25">
      <c r="B3" s="161" t="s">
        <v>30</v>
      </c>
    </row>
    <row r="4" spans="1:2" x14ac:dyDescent="0.25">
      <c r="B4" s="161" t="s">
        <v>131</v>
      </c>
    </row>
    <row r="5" spans="1:2" x14ac:dyDescent="0.25">
      <c r="B5" s="161" t="s">
        <v>132</v>
      </c>
    </row>
    <row r="6" spans="1:2" x14ac:dyDescent="0.25">
      <c r="B6" s="161" t="s">
        <v>133</v>
      </c>
    </row>
    <row r="7" spans="1:2" x14ac:dyDescent="0.25">
      <c r="B7" s="161" t="s">
        <v>134</v>
      </c>
    </row>
    <row r="8" spans="1:2" ht="30" x14ac:dyDescent="0.25">
      <c r="B8" s="161" t="s">
        <v>135</v>
      </c>
    </row>
    <row r="9" spans="1:2" x14ac:dyDescent="0.25">
      <c r="B9" s="161" t="s">
        <v>136</v>
      </c>
    </row>
    <row r="10" spans="1:2" x14ac:dyDescent="0.25">
      <c r="B10" s="139"/>
    </row>
    <row r="11" spans="1:2" ht="30" x14ac:dyDescent="0.25">
      <c r="B11" s="161" t="s">
        <v>31</v>
      </c>
    </row>
    <row r="12" spans="1:2" x14ac:dyDescent="0.25">
      <c r="B12" s="161"/>
    </row>
    <row r="13" spans="1:2" ht="30" x14ac:dyDescent="0.25">
      <c r="B13" s="161" t="s">
        <v>32</v>
      </c>
    </row>
    <row r="14" spans="1:2" x14ac:dyDescent="0.25">
      <c r="B14" s="161"/>
    </row>
    <row r="15" spans="1:2" ht="30" x14ac:dyDescent="0.25">
      <c r="B15" s="161" t="s">
        <v>33</v>
      </c>
    </row>
    <row r="16" spans="1:2" x14ac:dyDescent="0.25">
      <c r="B16" s="161"/>
    </row>
    <row r="17" spans="2:2" ht="30" x14ac:dyDescent="0.25">
      <c r="B17" s="161" t="s">
        <v>137</v>
      </c>
    </row>
    <row r="18" spans="2:2" x14ac:dyDescent="0.25">
      <c r="B18" s="161"/>
    </row>
    <row r="19" spans="2:2" x14ac:dyDescent="0.25">
      <c r="B19" s="161" t="s">
        <v>34</v>
      </c>
    </row>
    <row r="20" spans="2:2" x14ac:dyDescent="0.25">
      <c r="B20" s="161" t="s">
        <v>35</v>
      </c>
    </row>
    <row r="21" spans="2:2" x14ac:dyDescent="0.25">
      <c r="B21" s="161"/>
    </row>
    <row r="22" spans="2:2" x14ac:dyDescent="0.25">
      <c r="B22" s="161" t="s">
        <v>36</v>
      </c>
    </row>
    <row r="23" spans="2:2" x14ac:dyDescent="0.25">
      <c r="B23" s="161" t="s">
        <v>37</v>
      </c>
    </row>
    <row r="24" spans="2:2" x14ac:dyDescent="0.25">
      <c r="B24" s="161" t="s">
        <v>38</v>
      </c>
    </row>
    <row r="25" spans="2:2" x14ac:dyDescent="0.25">
      <c r="B25" s="161" t="s">
        <v>39</v>
      </c>
    </row>
    <row r="26" spans="2:2" x14ac:dyDescent="0.25">
      <c r="B26" s="161"/>
    </row>
    <row r="27" spans="2:2" x14ac:dyDescent="0.25">
      <c r="B27" s="161" t="s">
        <v>40</v>
      </c>
    </row>
    <row r="28" spans="2:2" x14ac:dyDescent="0.25">
      <c r="B28" s="161" t="s">
        <v>41</v>
      </c>
    </row>
    <row r="29" spans="2:2" x14ac:dyDescent="0.25">
      <c r="B29" s="161" t="s">
        <v>42</v>
      </c>
    </row>
    <row r="30" spans="2:2" x14ac:dyDescent="0.25">
      <c r="B30" s="161" t="s">
        <v>43</v>
      </c>
    </row>
    <row r="31" spans="2:2" x14ac:dyDescent="0.25">
      <c r="B31" s="161" t="s">
        <v>44</v>
      </c>
    </row>
    <row r="32" spans="2:2" x14ac:dyDescent="0.25">
      <c r="B32" s="161"/>
    </row>
    <row r="33" spans="2:2" x14ac:dyDescent="0.25">
      <c r="B33" s="161" t="s">
        <v>45</v>
      </c>
    </row>
    <row r="34" spans="2:2" x14ac:dyDescent="0.25">
      <c r="B34" s="161" t="s">
        <v>46</v>
      </c>
    </row>
    <row r="35" spans="2:2" x14ac:dyDescent="0.25">
      <c r="B35" s="161" t="s">
        <v>47</v>
      </c>
    </row>
    <row r="36" spans="2:2" x14ac:dyDescent="0.25">
      <c r="B36" s="161"/>
    </row>
    <row r="37" spans="2:2" ht="30" x14ac:dyDescent="0.25">
      <c r="B37" s="161" t="s">
        <v>138</v>
      </c>
    </row>
    <row r="38" spans="2:2" x14ac:dyDescent="0.25">
      <c r="B38" s="161"/>
    </row>
    <row r="39" spans="2:2" ht="45" x14ac:dyDescent="0.25">
      <c r="B39" s="161" t="s">
        <v>139</v>
      </c>
    </row>
    <row r="40" spans="2:2" x14ac:dyDescent="0.25">
      <c r="B40" s="161"/>
    </row>
    <row r="41" spans="2:2" ht="45" x14ac:dyDescent="0.25">
      <c r="B41" s="161" t="s">
        <v>48</v>
      </c>
    </row>
    <row r="42" spans="2:2" x14ac:dyDescent="0.25">
      <c r="B42" s="161"/>
    </row>
    <row r="43" spans="2:2" ht="30" x14ac:dyDescent="0.25">
      <c r="B43" s="161" t="s">
        <v>140</v>
      </c>
    </row>
  </sheetData>
  <pageMargins left="0.7" right="0.7" top="0.61" bottom="0.39" header="0.3" footer="0.3"/>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tabColor theme="6"/>
  </sheetPr>
  <dimension ref="A2:A88"/>
  <sheetViews>
    <sheetView workbookViewId="0">
      <selection activeCell="A5" sqref="A5"/>
    </sheetView>
  </sheetViews>
  <sheetFormatPr defaultColWidth="9.140625" defaultRowHeight="15" x14ac:dyDescent="0.25"/>
  <cols>
    <col min="1" max="1" width="88.42578125" style="163" customWidth="1"/>
    <col min="2" max="16384" width="9.140625" style="163"/>
  </cols>
  <sheetData>
    <row r="2" spans="1:1" ht="18.75" x14ac:dyDescent="0.25">
      <c r="A2" s="162" t="s">
        <v>141</v>
      </c>
    </row>
    <row r="3" spans="1:1" x14ac:dyDescent="0.25">
      <c r="A3" s="164"/>
    </row>
    <row r="4" spans="1:1" x14ac:dyDescent="0.25">
      <c r="A4" s="164"/>
    </row>
    <row r="5" spans="1:1" x14ac:dyDescent="0.25">
      <c r="A5" s="165" t="s">
        <v>469</v>
      </c>
    </row>
    <row r="6" spans="1:1" x14ac:dyDescent="0.25">
      <c r="A6" s="165"/>
    </row>
    <row r="7" spans="1:1" x14ac:dyDescent="0.25">
      <c r="A7" s="166"/>
    </row>
    <row r="8" spans="1:1" x14ac:dyDescent="0.25">
      <c r="A8" s="166"/>
    </row>
    <row r="9" spans="1:1" x14ac:dyDescent="0.25">
      <c r="A9" s="166"/>
    </row>
    <row r="10" spans="1:1" x14ac:dyDescent="0.25">
      <c r="A10" s="166"/>
    </row>
    <row r="11" spans="1:1" x14ac:dyDescent="0.25">
      <c r="A11" s="166"/>
    </row>
    <row r="12" spans="1:1" x14ac:dyDescent="0.25">
      <c r="A12" s="166"/>
    </row>
    <row r="13" spans="1:1" x14ac:dyDescent="0.25">
      <c r="A13" s="166"/>
    </row>
    <row r="14" spans="1:1" x14ac:dyDescent="0.25">
      <c r="A14" s="166"/>
    </row>
    <row r="15" spans="1:1" x14ac:dyDescent="0.25">
      <c r="A15" s="166"/>
    </row>
    <row r="16" spans="1:1" x14ac:dyDescent="0.25">
      <c r="A16" s="166"/>
    </row>
    <row r="17" spans="1:1" x14ac:dyDescent="0.25">
      <c r="A17" s="166"/>
    </row>
    <row r="18" spans="1:1" x14ac:dyDescent="0.25">
      <c r="A18" s="167"/>
    </row>
    <row r="19" spans="1:1" x14ac:dyDescent="0.25">
      <c r="A19" s="168"/>
    </row>
    <row r="20" spans="1:1" x14ac:dyDescent="0.25">
      <c r="A20" s="167"/>
    </row>
    <row r="21" spans="1:1" x14ac:dyDescent="0.25">
      <c r="A21" s="167"/>
    </row>
    <row r="22" spans="1:1" x14ac:dyDescent="0.25">
      <c r="A22" s="165"/>
    </row>
    <row r="23" spans="1:1" x14ac:dyDescent="0.25">
      <c r="A23" s="165"/>
    </row>
    <row r="24" spans="1:1" x14ac:dyDescent="0.25">
      <c r="A24" s="166"/>
    </row>
    <row r="25" spans="1:1" x14ac:dyDescent="0.25">
      <c r="A25" s="166"/>
    </row>
    <row r="26" spans="1:1" x14ac:dyDescent="0.25">
      <c r="A26" s="166"/>
    </row>
    <row r="27" spans="1:1" x14ac:dyDescent="0.25">
      <c r="A27" s="166"/>
    </row>
    <row r="28" spans="1:1" x14ac:dyDescent="0.25">
      <c r="A28" s="166"/>
    </row>
    <row r="29" spans="1:1" x14ac:dyDescent="0.25">
      <c r="A29" s="166"/>
    </row>
    <row r="30" spans="1:1" x14ac:dyDescent="0.25">
      <c r="A30" s="166"/>
    </row>
    <row r="31" spans="1:1" x14ac:dyDescent="0.25">
      <c r="A31" s="166"/>
    </row>
    <row r="32" spans="1:1" x14ac:dyDescent="0.25">
      <c r="A32" s="166"/>
    </row>
    <row r="33" spans="1:1" x14ac:dyDescent="0.25">
      <c r="A33" s="166"/>
    </row>
    <row r="34" spans="1:1" x14ac:dyDescent="0.25">
      <c r="A34" s="167"/>
    </row>
    <row r="35" spans="1:1" x14ac:dyDescent="0.25">
      <c r="A35" s="168"/>
    </row>
    <row r="36" spans="1:1" x14ac:dyDescent="0.25">
      <c r="A36" s="167"/>
    </row>
    <row r="37" spans="1:1" x14ac:dyDescent="0.25">
      <c r="A37" s="167"/>
    </row>
    <row r="38" spans="1:1" x14ac:dyDescent="0.25">
      <c r="A38" s="165"/>
    </row>
    <row r="39" spans="1:1" x14ac:dyDescent="0.25">
      <c r="A39" s="165"/>
    </row>
    <row r="40" spans="1:1" x14ac:dyDescent="0.25">
      <c r="A40" s="166"/>
    </row>
    <row r="41" spans="1:1" x14ac:dyDescent="0.25">
      <c r="A41" s="166"/>
    </row>
    <row r="42" spans="1:1" x14ac:dyDescent="0.25">
      <c r="A42" s="166"/>
    </row>
    <row r="43" spans="1:1" x14ac:dyDescent="0.25">
      <c r="A43" s="166"/>
    </row>
    <row r="44" spans="1:1" x14ac:dyDescent="0.25">
      <c r="A44" s="166"/>
    </row>
    <row r="45" spans="1:1" x14ac:dyDescent="0.25">
      <c r="A45" s="166"/>
    </row>
    <row r="46" spans="1:1" x14ac:dyDescent="0.25">
      <c r="A46" s="166"/>
    </row>
    <row r="47" spans="1:1" x14ac:dyDescent="0.25">
      <c r="A47" s="166"/>
    </row>
    <row r="48" spans="1:1" x14ac:dyDescent="0.25">
      <c r="A48" s="166"/>
    </row>
    <row r="49" spans="1:1" x14ac:dyDescent="0.25">
      <c r="A49" s="166"/>
    </row>
    <row r="50" spans="1:1" x14ac:dyDescent="0.25">
      <c r="A50" s="166"/>
    </row>
    <row r="51" spans="1:1" x14ac:dyDescent="0.25">
      <c r="A51" s="166"/>
    </row>
    <row r="52" spans="1:1" x14ac:dyDescent="0.25">
      <c r="A52" s="167"/>
    </row>
    <row r="53" spans="1:1" x14ac:dyDescent="0.25">
      <c r="A53" s="168"/>
    </row>
    <row r="54" spans="1:1" x14ac:dyDescent="0.25">
      <c r="A54" s="167"/>
    </row>
    <row r="55" spans="1:1" x14ac:dyDescent="0.25">
      <c r="A55" s="167"/>
    </row>
    <row r="56" spans="1:1" x14ac:dyDescent="0.25">
      <c r="A56" s="167"/>
    </row>
    <row r="57" spans="1:1" x14ac:dyDescent="0.25">
      <c r="A57" s="169"/>
    </row>
    <row r="58" spans="1:1" x14ac:dyDescent="0.25">
      <c r="A58" s="170"/>
    </row>
    <row r="59" spans="1:1" x14ac:dyDescent="0.25">
      <c r="A59" s="170"/>
    </row>
    <row r="60" spans="1:1" x14ac:dyDescent="0.25">
      <c r="A60" s="170"/>
    </row>
    <row r="61" spans="1:1" x14ac:dyDescent="0.25">
      <c r="A61" s="170"/>
    </row>
    <row r="62" spans="1:1" x14ac:dyDescent="0.25">
      <c r="A62" s="170"/>
    </row>
    <row r="63" spans="1:1" x14ac:dyDescent="0.25">
      <c r="A63" s="170"/>
    </row>
    <row r="64" spans="1:1" x14ac:dyDescent="0.25">
      <c r="A64" s="164"/>
    </row>
    <row r="65" spans="1:1" x14ac:dyDescent="0.25">
      <c r="A65" s="165"/>
    </row>
    <row r="66" spans="1:1" x14ac:dyDescent="0.25">
      <c r="A66" s="170"/>
    </row>
    <row r="67" spans="1:1" x14ac:dyDescent="0.25">
      <c r="A67" s="170"/>
    </row>
    <row r="68" spans="1:1" x14ac:dyDescent="0.25">
      <c r="A68" s="170"/>
    </row>
    <row r="69" spans="1:1" x14ac:dyDescent="0.25">
      <c r="A69" s="170"/>
    </row>
    <row r="70" spans="1:1" x14ac:dyDescent="0.25">
      <c r="A70" s="170"/>
    </row>
    <row r="71" spans="1:1" x14ac:dyDescent="0.25">
      <c r="A71" s="170"/>
    </row>
    <row r="72" spans="1:1" x14ac:dyDescent="0.25">
      <c r="A72" s="170"/>
    </row>
    <row r="73" spans="1:1" x14ac:dyDescent="0.25">
      <c r="A73" s="170"/>
    </row>
    <row r="74" spans="1:1" x14ac:dyDescent="0.25">
      <c r="A74" s="170"/>
    </row>
    <row r="75" spans="1:1" x14ac:dyDescent="0.25">
      <c r="A75" s="170"/>
    </row>
    <row r="76" spans="1:1" x14ac:dyDescent="0.25">
      <c r="A76" s="170"/>
    </row>
    <row r="77" spans="1:1" x14ac:dyDescent="0.25">
      <c r="A77" s="164"/>
    </row>
    <row r="78" spans="1:1" x14ac:dyDescent="0.25">
      <c r="A78" s="165"/>
    </row>
    <row r="79" spans="1:1" x14ac:dyDescent="0.25">
      <c r="A79" s="171"/>
    </row>
    <row r="80" spans="1:1" x14ac:dyDescent="0.25">
      <c r="A80" s="165"/>
    </row>
    <row r="81" spans="1:1" x14ac:dyDescent="0.25">
      <c r="A81" s="164"/>
    </row>
    <row r="82" spans="1:1" x14ac:dyDescent="0.25">
      <c r="A82" s="164"/>
    </row>
    <row r="83" spans="1:1" x14ac:dyDescent="0.25">
      <c r="A83" s="165"/>
    </row>
    <row r="84" spans="1:1" x14ac:dyDescent="0.25">
      <c r="A84" s="164"/>
    </row>
    <row r="85" spans="1:1" x14ac:dyDescent="0.25">
      <c r="A85" s="164"/>
    </row>
    <row r="86" spans="1:1" x14ac:dyDescent="0.25">
      <c r="A86" s="165"/>
    </row>
    <row r="87" spans="1:1" x14ac:dyDescent="0.25">
      <c r="A87" s="164"/>
    </row>
    <row r="88" spans="1:1" x14ac:dyDescent="0.25">
      <c r="A88" s="164"/>
    </row>
  </sheetData>
  <pageMargins left="0.7" right="0.7" top="0.75" bottom="0.75" header="0.3" footer="0.3"/>
  <pageSetup paperSize="9" scale="8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5BBD0-C570-4648-8255-F4E6CE74A17B}">
  <sheetPr codeName="List9">
    <tabColor rgb="FFFF0000"/>
    <pageSetUpPr fitToPage="1"/>
  </sheetPr>
  <dimension ref="A1:Q125"/>
  <sheetViews>
    <sheetView topLeftCell="A55" workbookViewId="0">
      <selection activeCell="E20" sqref="E20"/>
    </sheetView>
  </sheetViews>
  <sheetFormatPr defaultColWidth="9.140625" defaultRowHeight="12.75" x14ac:dyDescent="0.2"/>
  <cols>
    <col min="1" max="1" width="44.7109375" style="1" customWidth="1"/>
    <col min="2" max="2" width="23.7109375" style="1" customWidth="1"/>
    <col min="3" max="3" width="20.85546875" style="1" customWidth="1"/>
    <col min="4" max="4" width="20.140625" style="1" customWidth="1"/>
    <col min="5" max="5" width="21" style="1" customWidth="1"/>
    <col min="6" max="6" width="9.140625" style="30"/>
    <col min="7" max="16384" width="9.140625" style="1"/>
  </cols>
  <sheetData>
    <row r="1" spans="1:7" ht="18.75" x14ac:dyDescent="0.3">
      <c r="A1" s="670" t="s">
        <v>2</v>
      </c>
      <c r="B1" s="670"/>
      <c r="E1" s="2"/>
    </row>
    <row r="2" spans="1:7" ht="13.5" thickBot="1" x14ac:dyDescent="0.25">
      <c r="C2" s="3"/>
      <c r="E2" s="2"/>
    </row>
    <row r="3" spans="1:7" x14ac:dyDescent="0.2">
      <c r="A3" s="671" t="s">
        <v>18</v>
      </c>
      <c r="B3" s="672"/>
      <c r="C3" s="673"/>
    </row>
    <row r="4" spans="1:7" ht="33" customHeight="1" x14ac:dyDescent="0.2">
      <c r="A4" s="4" t="s">
        <v>17</v>
      </c>
      <c r="B4" s="674" t="str">
        <f ca="1">INDEX('Referenčne količine'!$C$4:$C$9,MATCH('OB001'!B6,'Referenčne količine'!$B$4:$B$9,0))</f>
        <v>POŠ Rakitna</v>
      </c>
      <c r="C4" s="675"/>
    </row>
    <row r="5" spans="1:7" x14ac:dyDescent="0.2">
      <c r="A5" s="4" t="s">
        <v>16</v>
      </c>
      <c r="B5" s="676" t="str">
        <f ca="1">INDEX('Referenčne količine'!$D$4:$D$9,MATCH('OB001'!B6,'Referenčne količine'!$B$4:$B$9,0))</f>
        <v>Rakitna 54, 
1352 Preserje</v>
      </c>
      <c r="C5" s="677"/>
    </row>
    <row r="6" spans="1:7" x14ac:dyDescent="0.2">
      <c r="A6" s="4" t="s">
        <v>15</v>
      </c>
      <c r="B6" s="676" t="str">
        <f ca="1">RIGHT(CELL("filename",A1),5)</f>
        <v>OB001</v>
      </c>
      <c r="C6" s="677"/>
    </row>
    <row r="7" spans="1:7" x14ac:dyDescent="0.2">
      <c r="A7" s="4" t="s">
        <v>14</v>
      </c>
      <c r="B7" s="678">
        <f ca="1">INDEX('Referenčne količine'!$G$4:$G$9,MATCH('OB001'!B6,'Referenčne količine'!$B$4:$B$9,0))</f>
        <v>954.3</v>
      </c>
      <c r="C7" s="679"/>
      <c r="F7" s="214"/>
      <c r="G7" s="5"/>
    </row>
    <row r="8" spans="1:7" x14ac:dyDescent="0.2">
      <c r="A8" s="4" t="s">
        <v>294</v>
      </c>
      <c r="B8" s="680" t="str">
        <f ca="1">INDEX('Referenčne količine'!$P$4:$P$9,MATCH('OB001'!B6,'Referenčne količine'!$B$4:$B$9,0))</f>
        <v>ELKO</v>
      </c>
      <c r="C8" s="681"/>
      <c r="F8" s="214"/>
      <c r="G8" s="5"/>
    </row>
    <row r="9" spans="1:7" x14ac:dyDescent="0.2">
      <c r="A9" s="4" t="s">
        <v>295</v>
      </c>
      <c r="B9" s="680" t="str">
        <f ca="1">INDEX('Referenčne količine'!$W$4:$W$9,MATCH('OB001'!B6,'Referenčne količine'!$B$4:$B$9,0))</f>
        <v/>
      </c>
      <c r="C9" s="681"/>
      <c r="F9" s="214"/>
      <c r="G9" s="5"/>
    </row>
    <row r="10" spans="1:7" ht="13.5" thickBot="1" x14ac:dyDescent="0.25">
      <c r="A10" s="213" t="s">
        <v>296</v>
      </c>
      <c r="B10" s="682" t="str">
        <f ca="1">INDEX('Referenčne količine'!$AD$4:$AD$9,MATCH('OB001'!B6,'Referenčne količine'!$B$4:$B$9,0))</f>
        <v/>
      </c>
      <c r="C10" s="683"/>
    </row>
    <row r="11" spans="1:7" ht="13.5" thickBot="1" x14ac:dyDescent="0.25"/>
    <row r="12" spans="1:7" x14ac:dyDescent="0.2">
      <c r="A12" s="684" t="s">
        <v>143</v>
      </c>
      <c r="B12" s="685"/>
      <c r="C12" s="686"/>
    </row>
    <row r="13" spans="1:7" ht="26.25" thickBot="1" x14ac:dyDescent="0.25">
      <c r="A13" s="6" t="s">
        <v>144</v>
      </c>
      <c r="B13" s="7" t="s">
        <v>145</v>
      </c>
      <c r="C13" s="8" t="s">
        <v>146</v>
      </c>
    </row>
    <row r="14" spans="1:7" x14ac:dyDescent="0.2">
      <c r="A14" s="9" t="s">
        <v>147</v>
      </c>
      <c r="B14" s="10">
        <f ca="1">INDEX('Referenčne količine'!$AK$4:$AK$9,MATCH('OB001'!$B$6,'Referenčne količine'!$B$4:$B$9,0))</f>
        <v>144026.505</v>
      </c>
      <c r="C14" s="11">
        <f ca="1">INDEX('Referenčne količine'!$AS$4:$AS$9,MATCH('OB001'!$B$6,'Referenčne količine'!$B$4:$B$9,0))</f>
        <v>144026.505</v>
      </c>
      <c r="E14" s="12"/>
      <c r="F14" s="215"/>
    </row>
    <row r="15" spans="1:7" x14ac:dyDescent="0.2">
      <c r="A15" s="13" t="s">
        <v>148</v>
      </c>
      <c r="B15" s="14">
        <f ca="1">INDEX('Referenčne količine'!$AM$4:$AM$9,MATCH('OB001'!$B$6,'Referenčne količine'!$B$4:$B$9,0))</f>
        <v>120982.26420000001</v>
      </c>
      <c r="C15" s="14">
        <f ca="1">INDEX('Referenčne količine'!$AT$4:$AT$9,MATCH('OB001'!$B$6,'Referenčne količine'!$B$4:$B$9,0))</f>
        <v>120982.26420000001</v>
      </c>
      <c r="E15" s="12"/>
      <c r="F15" s="215"/>
    </row>
    <row r="16" spans="1:7" x14ac:dyDescent="0.2">
      <c r="A16" s="15" t="s">
        <v>149</v>
      </c>
      <c r="B16" s="16">
        <f ca="1">INDEX('Referenčne količine'!$AO$4:$AO$9,MATCH('OB001'!$B$6,'Referenčne količine'!$B$4:$B$9,0))</f>
        <v>102834.92457</v>
      </c>
      <c r="C16" s="16">
        <f ca="1">INDEX('Referenčne količine'!$AW$4:$AW$9,MATCH('OB001'!$B$6,'Referenčne količine'!$B$4:$B$9,0))</f>
        <v>102834.92457</v>
      </c>
      <c r="E16" s="5"/>
      <c r="F16" s="214"/>
    </row>
    <row r="17" spans="1:6" x14ac:dyDescent="0.2">
      <c r="A17" s="17" t="s">
        <v>316</v>
      </c>
      <c r="B17" s="16">
        <f ca="1">INDEX('Referenčne količine'!$AP$4:$AP$9,MATCH('OB001'!$B$6,'Referenčne količine'!$B$4:$B$9,0))</f>
        <v>18147.339629999999</v>
      </c>
      <c r="C17" s="16">
        <f ca="1">INDEX('Referenčne količine'!$AX$4:$AX$9,MATCH('OB001'!$B$6,'Referenčne količine'!$B$4:$B$9,0))</f>
        <v>18147.339629999999</v>
      </c>
      <c r="E17" s="5"/>
      <c r="F17" s="214"/>
    </row>
    <row r="18" spans="1:6" x14ac:dyDescent="0.2">
      <c r="A18" s="15" t="s">
        <v>315</v>
      </c>
      <c r="B18" s="16">
        <f ca="1">INDEX('Referenčne količine'!$AQ$4:$AQ$9,MATCH('OB001'!$B$6,'Referenčne količine'!$B$4:$B$9,0))</f>
        <v>0</v>
      </c>
      <c r="C18" s="16">
        <f ca="1">INDEX('Referenčne količine'!$AY$4:$AY$9,MATCH('OB001'!$B$6,'Referenčne količine'!$B$4:$B$9,0))</f>
        <v>0</v>
      </c>
      <c r="E18" s="12"/>
      <c r="F18" s="215"/>
    </row>
    <row r="19" spans="1:6" x14ac:dyDescent="0.2">
      <c r="A19" s="15" t="s">
        <v>150</v>
      </c>
      <c r="B19" s="18">
        <f ca="1">INDEX('Referenčne količine'!$AL$4:$AL$9,MATCH('OB001'!$B$6,'Referenčne količine'!$B$4:$B$9,0))</f>
        <v>9404.39</v>
      </c>
      <c r="C19" s="18">
        <f ca="1">INDEX('Referenčne količine'!$AV$4:$AV$9,MATCH('OB001'!$B$6,'Referenčne količine'!$B$4:$B$9,0))</f>
        <v>9404.39</v>
      </c>
      <c r="E19" s="12"/>
      <c r="F19" s="215"/>
    </row>
    <row r="20" spans="1:6" ht="13.5" thickBot="1" x14ac:dyDescent="0.25">
      <c r="A20" s="19" t="s">
        <v>151</v>
      </c>
      <c r="B20" s="20">
        <f ca="1">INDEX('Referenčne količine'!$AN$4:$AN$9,MATCH('OB001'!$B$6,'Referenčne količine'!$B$4:$B$9,0))</f>
        <v>7.773362535564117E-2</v>
      </c>
      <c r="C20" s="20">
        <f ca="1">INDEX('Referenčne količine'!$AN$4:$AN$9,MATCH('OB001'!$B$6,'Referenčne količine'!$B$4:$B$9,0))</f>
        <v>7.773362535564117E-2</v>
      </c>
      <c r="E20" s="12"/>
      <c r="F20" s="215"/>
    </row>
    <row r="21" spans="1:6" x14ac:dyDescent="0.2">
      <c r="A21" s="9" t="s">
        <v>152</v>
      </c>
      <c r="B21" s="10">
        <f ca="1">INDEX('Referenčne količine'!$AZ$4:$AZ$9,MATCH('OB001'!$B$6,'Referenčne količine'!$B$4:$B$9,0))</f>
        <v>30939</v>
      </c>
      <c r="C21" s="10">
        <f ca="1">INDEX('Referenčne količine'!$BF$4:$BF$9,MATCH('OB001'!$B$6,'Referenčne količine'!$B$4:$B$9,0))</f>
        <v>30939</v>
      </c>
      <c r="E21" s="12"/>
      <c r="F21" s="215"/>
    </row>
    <row r="22" spans="1:6" x14ac:dyDescent="0.2">
      <c r="A22" s="21" t="s">
        <v>153</v>
      </c>
      <c r="B22" s="14">
        <f ca="1">INDEX('Referenčne količine'!$BC$4:$BC$9,MATCH('OB001'!$B$6,'Referenčne količine'!$B$4:$B$9,0))</f>
        <v>5135.5124999999998</v>
      </c>
      <c r="C22" s="14">
        <f ca="1">INDEX('Referenčne količine'!$BH$4:$BH$9,MATCH('OB001'!$B$6,'Referenčne količine'!$B$4:$B$9,0))</f>
        <v>5135.5124999999998</v>
      </c>
      <c r="E22" s="12"/>
      <c r="F22" s="215"/>
    </row>
    <row r="23" spans="1:6" x14ac:dyDescent="0.2">
      <c r="A23" s="21" t="s">
        <v>154</v>
      </c>
      <c r="B23" s="14">
        <f ca="1">INDEX('Referenčne količine'!$BD$4:$BD$9,MATCH('OB001'!$B$6,'Referenčne količine'!$B$4:$B$9,0))</f>
        <v>25803.487499999999</v>
      </c>
      <c r="C23" s="14">
        <f ca="1">INDEX('Referenčne količine'!$BI$4:$BI$9,MATCH('OB001'!$B$6,'Referenčne količine'!$B$4:$B$9,0))</f>
        <v>25803.487499999999</v>
      </c>
      <c r="E23" s="12"/>
      <c r="F23" s="215"/>
    </row>
    <row r="24" spans="1:6" x14ac:dyDescent="0.2">
      <c r="A24" s="22" t="s">
        <v>155</v>
      </c>
      <c r="B24" s="23">
        <f ca="1">INDEX('Referenčne količine'!$BA$4:$BA$9,MATCH('OB001'!$B$6,'Referenčne količine'!$B$4:$B$9,0))</f>
        <v>4544.450824888444</v>
      </c>
      <c r="C24" s="24">
        <f ca="1">INDEX('Referenčne količine'!$BG$4:$BG$9,MATCH('OB001'!$B$6,'Referenčne količine'!$B$4:$B$9,0))</f>
        <v>4544.450824888444</v>
      </c>
      <c r="D24" s="25"/>
      <c r="E24" s="12"/>
      <c r="F24" s="215"/>
    </row>
    <row r="25" spans="1:6" ht="13.5" thickBot="1" x14ac:dyDescent="0.25">
      <c r="A25" s="26" t="s">
        <v>156</v>
      </c>
      <c r="B25" s="62">
        <f ca="1">INDEX('Referenčne količine'!$BB$4:$BB$9,MATCH('OB001'!$B$6,'Referenčne količine'!$B$4:$B$9,0))</f>
        <v>0.14688421813531286</v>
      </c>
      <c r="C25" s="62">
        <f ca="1">INDEX('Referenčne količine'!$BB$4:$BB$9,MATCH('OB001'!$B$6,'Referenčne količine'!$B$4:$B$9,0))</f>
        <v>0.14688421813531286</v>
      </c>
      <c r="E25" s="12"/>
      <c r="F25" s="215"/>
    </row>
    <row r="26" spans="1:6" ht="14.45" customHeight="1" thickBot="1" x14ac:dyDescent="0.25">
      <c r="A26" s="27" t="s">
        <v>157</v>
      </c>
      <c r="B26" s="28">
        <f ca="1">INDEX('Referenčne količine'!$BK$4:$BK$9,MATCH('OB001'!$B$6,'Referenčne količine'!$B$4:$B$9,0))</f>
        <v>3340</v>
      </c>
      <c r="C26" s="29"/>
      <c r="E26" s="12"/>
      <c r="F26" s="215"/>
    </row>
    <row r="27" spans="1:6" ht="13.5" thickBot="1" x14ac:dyDescent="0.25">
      <c r="F27" s="229">
        <f ca="1">VALUE(RIGHT(CELL("filename",A1),2))</f>
        <v>1</v>
      </c>
    </row>
    <row r="28" spans="1:6" ht="25.5" x14ac:dyDescent="0.2">
      <c r="A28" s="219" t="s">
        <v>158</v>
      </c>
      <c r="B28" s="221" t="s">
        <v>299</v>
      </c>
      <c r="C28" s="222" t="s">
        <v>300</v>
      </c>
      <c r="D28" s="221" t="s">
        <v>302</v>
      </c>
      <c r="E28" s="221" t="s">
        <v>301</v>
      </c>
      <c r="F28" s="230"/>
    </row>
    <row r="29" spans="1:6" x14ac:dyDescent="0.2">
      <c r="A29" s="218"/>
      <c r="B29" s="226"/>
      <c r="C29" s="226"/>
      <c r="D29" s="226"/>
      <c r="E29" s="226"/>
      <c r="F29" s="231">
        <v>1</v>
      </c>
    </row>
    <row r="30" spans="1:6" ht="13.15" customHeight="1" x14ac:dyDescent="0.2">
      <c r="A30" s="218"/>
      <c r="B30" s="226"/>
      <c r="C30" s="226"/>
      <c r="D30" s="226"/>
      <c r="E30" s="226"/>
      <c r="F30" s="231">
        <f t="shared" ref="F30:F53" si="0">F29+1</f>
        <v>2</v>
      </c>
    </row>
    <row r="31" spans="1:6" x14ac:dyDescent="0.2">
      <c r="A31" s="218"/>
      <c r="B31" s="226"/>
      <c r="C31" s="226"/>
      <c r="D31" s="226"/>
      <c r="E31" s="226"/>
      <c r="F31" s="231">
        <f t="shared" si="0"/>
        <v>3</v>
      </c>
    </row>
    <row r="32" spans="1:6" x14ac:dyDescent="0.2">
      <c r="A32" s="218"/>
      <c r="B32" s="226"/>
      <c r="C32" s="226"/>
      <c r="D32" s="226"/>
      <c r="E32" s="226"/>
      <c r="F32" s="231">
        <f t="shared" si="0"/>
        <v>4</v>
      </c>
    </row>
    <row r="33" spans="1:6" x14ac:dyDescent="0.2">
      <c r="A33" s="218"/>
      <c r="B33" s="226"/>
      <c r="C33" s="226"/>
      <c r="D33" s="226"/>
      <c r="E33" s="226"/>
      <c r="F33" s="231">
        <f t="shared" si="0"/>
        <v>5</v>
      </c>
    </row>
    <row r="34" spans="1:6" s="30" customFormat="1" x14ac:dyDescent="0.2">
      <c r="A34" s="218"/>
      <c r="B34" s="226"/>
      <c r="C34" s="226"/>
      <c r="D34" s="226"/>
      <c r="E34" s="226"/>
      <c r="F34" s="231">
        <f t="shared" si="0"/>
        <v>6</v>
      </c>
    </row>
    <row r="35" spans="1:6" x14ac:dyDescent="0.2">
      <c r="A35" s="218"/>
      <c r="B35" s="226"/>
      <c r="C35" s="226"/>
      <c r="D35" s="226"/>
      <c r="E35" s="226"/>
      <c r="F35" s="231">
        <f t="shared" si="0"/>
        <v>7</v>
      </c>
    </row>
    <row r="36" spans="1:6" x14ac:dyDescent="0.2">
      <c r="A36" s="218"/>
      <c r="B36" s="226"/>
      <c r="C36" s="226"/>
      <c r="D36" s="226"/>
      <c r="E36" s="226"/>
      <c r="F36" s="231">
        <f t="shared" si="0"/>
        <v>8</v>
      </c>
    </row>
    <row r="37" spans="1:6" s="30" customFormat="1" x14ac:dyDescent="0.2">
      <c r="A37" s="218"/>
      <c r="B37" s="226"/>
      <c r="C37" s="226"/>
      <c r="D37" s="226"/>
      <c r="E37" s="226"/>
      <c r="F37" s="231">
        <f t="shared" si="0"/>
        <v>9</v>
      </c>
    </row>
    <row r="38" spans="1:6" x14ac:dyDescent="0.2">
      <c r="A38" s="218"/>
      <c r="B38" s="226"/>
      <c r="C38" s="226"/>
      <c r="D38" s="226"/>
      <c r="E38" s="226"/>
      <c r="F38" s="231">
        <f t="shared" si="0"/>
        <v>10</v>
      </c>
    </row>
    <row r="39" spans="1:6" x14ac:dyDescent="0.2">
      <c r="A39" s="218"/>
      <c r="B39" s="226"/>
      <c r="C39" s="226"/>
      <c r="D39" s="226"/>
      <c r="E39" s="226"/>
      <c r="F39" s="231">
        <f t="shared" si="0"/>
        <v>11</v>
      </c>
    </row>
    <row r="40" spans="1:6" ht="13.15" customHeight="1" x14ac:dyDescent="0.2">
      <c r="A40" s="218"/>
      <c r="B40" s="226"/>
      <c r="C40" s="226"/>
      <c r="D40" s="226"/>
      <c r="E40" s="226"/>
      <c r="F40" s="231">
        <f t="shared" si="0"/>
        <v>12</v>
      </c>
    </row>
    <row r="41" spans="1:6" x14ac:dyDescent="0.2">
      <c r="A41" s="218"/>
      <c r="B41" s="226"/>
      <c r="C41" s="226"/>
      <c r="D41" s="226"/>
      <c r="E41" s="226"/>
      <c r="F41" s="231">
        <f t="shared" si="0"/>
        <v>13</v>
      </c>
    </row>
    <row r="42" spans="1:6" x14ac:dyDescent="0.2">
      <c r="A42" s="218"/>
      <c r="B42" s="226"/>
      <c r="C42" s="226"/>
      <c r="D42" s="226"/>
      <c r="E42" s="226"/>
      <c r="F42" s="231">
        <f t="shared" si="0"/>
        <v>14</v>
      </c>
    </row>
    <row r="43" spans="1:6" x14ac:dyDescent="0.2">
      <c r="A43" s="218"/>
      <c r="B43" s="226"/>
      <c r="C43" s="226"/>
      <c r="D43" s="226"/>
      <c r="E43" s="226"/>
      <c r="F43" s="231">
        <f t="shared" si="0"/>
        <v>15</v>
      </c>
    </row>
    <row r="44" spans="1:6" x14ac:dyDescent="0.2">
      <c r="A44" s="218"/>
      <c r="B44" s="226"/>
      <c r="C44" s="226"/>
      <c r="D44" s="226"/>
      <c r="E44" s="226"/>
      <c r="F44" s="231">
        <f t="shared" si="0"/>
        <v>16</v>
      </c>
    </row>
    <row r="45" spans="1:6" ht="15" customHeight="1" x14ac:dyDescent="0.2">
      <c r="A45" s="218"/>
      <c r="B45" s="226"/>
      <c r="C45" s="226"/>
      <c r="D45" s="226"/>
      <c r="E45" s="226"/>
      <c r="F45" s="231">
        <f t="shared" si="0"/>
        <v>17</v>
      </c>
    </row>
    <row r="46" spans="1:6" x14ac:dyDescent="0.2">
      <c r="A46" s="218"/>
      <c r="B46" s="226"/>
      <c r="C46" s="226"/>
      <c r="D46" s="226"/>
      <c r="E46" s="226"/>
      <c r="F46" s="231">
        <f t="shared" si="0"/>
        <v>18</v>
      </c>
    </row>
    <row r="47" spans="1:6" x14ac:dyDescent="0.2">
      <c r="A47" s="218"/>
      <c r="B47" s="226"/>
      <c r="C47" s="226"/>
      <c r="D47" s="226"/>
      <c r="E47" s="226"/>
      <c r="F47" s="231">
        <f t="shared" si="0"/>
        <v>19</v>
      </c>
    </row>
    <row r="48" spans="1:6" x14ac:dyDescent="0.2">
      <c r="A48" s="218"/>
      <c r="B48" s="226"/>
      <c r="C48" s="226"/>
      <c r="D48" s="226"/>
      <c r="E48" s="226"/>
      <c r="F48" s="231">
        <f t="shared" si="0"/>
        <v>20</v>
      </c>
    </row>
    <row r="49" spans="1:17" x14ac:dyDescent="0.2">
      <c r="A49" s="218"/>
      <c r="B49" s="226"/>
      <c r="C49" s="226"/>
      <c r="D49" s="226"/>
      <c r="E49" s="226"/>
      <c r="F49" s="231">
        <f t="shared" si="0"/>
        <v>21</v>
      </c>
    </row>
    <row r="50" spans="1:17" x14ac:dyDescent="0.2">
      <c r="A50" s="218"/>
      <c r="B50" s="226"/>
      <c r="C50" s="226"/>
      <c r="D50" s="226"/>
      <c r="E50" s="226"/>
      <c r="F50" s="231">
        <f t="shared" si="0"/>
        <v>22</v>
      </c>
    </row>
    <row r="51" spans="1:17" x14ac:dyDescent="0.2">
      <c r="A51" s="218"/>
      <c r="B51" s="226"/>
      <c r="C51" s="226"/>
      <c r="D51" s="226"/>
      <c r="E51" s="226"/>
      <c r="F51" s="231">
        <f t="shared" si="0"/>
        <v>23</v>
      </c>
    </row>
    <row r="52" spans="1:17" x14ac:dyDescent="0.2">
      <c r="A52" s="218" t="s">
        <v>491</v>
      </c>
      <c r="B52" s="226"/>
      <c r="C52" s="226"/>
      <c r="D52" s="226"/>
      <c r="E52" s="226"/>
      <c r="F52" s="231">
        <f t="shared" si="0"/>
        <v>24</v>
      </c>
    </row>
    <row r="53" spans="1:17" ht="13.5" thickBot="1" x14ac:dyDescent="0.25">
      <c r="A53" s="218" t="s">
        <v>491</v>
      </c>
      <c r="B53" s="226"/>
      <c r="C53" s="226"/>
      <c r="D53" s="226"/>
      <c r="E53" s="226"/>
      <c r="F53" s="231">
        <f t="shared" si="0"/>
        <v>25</v>
      </c>
    </row>
    <row r="54" spans="1:17" ht="15.75" customHeight="1" thickBot="1" x14ac:dyDescent="0.25">
      <c r="A54" s="220" t="s">
        <v>298</v>
      </c>
      <c r="B54" s="227">
        <f>SUM(B29:B53)</f>
        <v>0</v>
      </c>
      <c r="C54" s="228">
        <f>SUM(C29:C53)</f>
        <v>0</v>
      </c>
      <c r="D54" s="227">
        <f>SUM(D29:D53)</f>
        <v>0</v>
      </c>
      <c r="E54" s="228">
        <f>SUM(E29:E53)</f>
        <v>0</v>
      </c>
      <c r="F54" s="216"/>
    </row>
    <row r="55" spans="1:17" ht="13.5" thickBot="1" x14ac:dyDescent="0.25">
      <c r="A55" s="225" t="s">
        <v>303</v>
      </c>
      <c r="B55" s="687"/>
      <c r="C55" s="688"/>
      <c r="F55" s="216"/>
    </row>
    <row r="56" spans="1:17" x14ac:dyDescent="0.2">
      <c r="A56" s="224" t="s">
        <v>159</v>
      </c>
      <c r="B56" s="668">
        <f>B55*0.22</f>
        <v>0</v>
      </c>
      <c r="C56" s="669"/>
      <c r="F56" s="216"/>
    </row>
    <row r="57" spans="1:17" ht="13.5" thickBot="1" x14ac:dyDescent="0.25">
      <c r="A57" s="223" t="s">
        <v>304</v>
      </c>
      <c r="B57" s="691">
        <f>B56+B55</f>
        <v>0</v>
      </c>
      <c r="C57" s="692"/>
      <c r="E57" s="31"/>
      <c r="F57" s="216"/>
      <c r="G57" s="31"/>
      <c r="H57" s="31"/>
      <c r="I57" s="31"/>
      <c r="J57" s="31"/>
      <c r="K57" s="31"/>
      <c r="L57" s="31"/>
      <c r="M57" s="31"/>
      <c r="N57" s="31"/>
      <c r="O57" s="31"/>
      <c r="P57" s="31"/>
      <c r="Q57" s="31"/>
    </row>
    <row r="58" spans="1:17" ht="13.5" thickBot="1" x14ac:dyDescent="0.25">
      <c r="A58" s="32"/>
      <c r="B58" s="32"/>
      <c r="C58" s="33"/>
      <c r="D58" s="5"/>
      <c r="E58" s="31"/>
      <c r="F58" s="216"/>
      <c r="G58" s="31"/>
      <c r="H58" s="31"/>
      <c r="I58" s="31"/>
      <c r="J58" s="31"/>
      <c r="K58" s="31"/>
      <c r="L58" s="31"/>
      <c r="M58" s="31"/>
      <c r="N58" s="31"/>
      <c r="O58" s="31"/>
      <c r="P58" s="31"/>
      <c r="Q58" s="31"/>
    </row>
    <row r="59" spans="1:17" x14ac:dyDescent="0.2">
      <c r="A59" s="671" t="s">
        <v>307</v>
      </c>
      <c r="B59" s="672"/>
      <c r="C59" s="673"/>
      <c r="D59" s="5"/>
      <c r="E59" s="31"/>
      <c r="F59" s="216"/>
      <c r="G59" s="31"/>
      <c r="H59" s="31"/>
      <c r="I59" s="31"/>
      <c r="J59" s="31"/>
      <c r="K59" s="31"/>
      <c r="L59" s="31"/>
      <c r="M59" s="31"/>
      <c r="N59" s="31"/>
      <c r="O59" s="31"/>
      <c r="P59" s="31"/>
      <c r="Q59" s="31"/>
    </row>
    <row r="60" spans="1:17" x14ac:dyDescent="0.2">
      <c r="A60" s="689" t="s">
        <v>305</v>
      </c>
      <c r="B60" s="690"/>
      <c r="C60" s="34"/>
      <c r="D60" s="5"/>
      <c r="E60" s="31"/>
      <c r="F60" s="216"/>
      <c r="G60" s="31"/>
      <c r="H60" s="31"/>
      <c r="I60" s="31"/>
      <c r="J60" s="31"/>
      <c r="K60" s="31"/>
      <c r="L60" s="31"/>
      <c r="M60" s="31"/>
      <c r="N60" s="31"/>
      <c r="O60" s="31"/>
      <c r="P60" s="31"/>
      <c r="Q60" s="31"/>
    </row>
    <row r="61" spans="1:17" x14ac:dyDescent="0.2">
      <c r="A61" s="689" t="s">
        <v>160</v>
      </c>
      <c r="B61" s="690"/>
      <c r="C61" s="34"/>
      <c r="E61" s="31"/>
      <c r="F61" s="217"/>
      <c r="G61" s="31"/>
      <c r="H61" s="31"/>
      <c r="I61" s="31"/>
      <c r="J61" s="31"/>
      <c r="K61" s="31"/>
      <c r="L61" s="31"/>
      <c r="M61" s="31"/>
      <c r="N61" s="31"/>
      <c r="O61" s="31"/>
      <c r="P61" s="31"/>
      <c r="Q61" s="31"/>
    </row>
    <row r="62" spans="1:17" x14ac:dyDescent="0.2">
      <c r="A62" s="15" t="s">
        <v>149</v>
      </c>
      <c r="B62" s="196"/>
      <c r="C62" s="38"/>
      <c r="E62" s="31"/>
      <c r="F62" s="217"/>
      <c r="G62" s="31"/>
      <c r="H62" s="31"/>
      <c r="I62" s="31"/>
      <c r="J62" s="31"/>
      <c r="K62" s="31"/>
      <c r="L62" s="31"/>
      <c r="M62" s="31"/>
      <c r="N62" s="31"/>
      <c r="O62" s="31"/>
      <c r="P62" s="31"/>
      <c r="Q62" s="31"/>
    </row>
    <row r="63" spans="1:17" x14ac:dyDescent="0.2">
      <c r="A63" s="17" t="s">
        <v>316</v>
      </c>
      <c r="B63" s="196"/>
      <c r="C63" s="38"/>
      <c r="E63" s="31"/>
      <c r="F63" s="217"/>
      <c r="G63" s="31"/>
      <c r="H63" s="31"/>
      <c r="I63" s="31"/>
      <c r="J63" s="31"/>
      <c r="K63" s="31"/>
      <c r="L63" s="31"/>
      <c r="M63" s="31"/>
      <c r="N63" s="31"/>
      <c r="O63" s="31"/>
      <c r="P63" s="31"/>
      <c r="Q63" s="31"/>
    </row>
    <row r="64" spans="1:17" x14ac:dyDescent="0.2">
      <c r="A64" s="15" t="s">
        <v>315</v>
      </c>
      <c r="B64" s="196"/>
      <c r="C64" s="38"/>
      <c r="E64" s="31"/>
      <c r="F64" s="217"/>
      <c r="G64" s="31"/>
      <c r="H64" s="31"/>
      <c r="I64" s="31"/>
      <c r="J64" s="31"/>
      <c r="K64" s="31"/>
      <c r="L64" s="31"/>
      <c r="M64" s="31"/>
      <c r="N64" s="31"/>
      <c r="O64" s="31"/>
      <c r="P64" s="31"/>
      <c r="Q64" s="31"/>
    </row>
    <row r="65" spans="1:17" x14ac:dyDescent="0.2">
      <c r="A65" s="693" t="s">
        <v>308</v>
      </c>
      <c r="B65" s="694"/>
      <c r="C65" s="35"/>
      <c r="E65" s="31"/>
      <c r="F65" s="217"/>
      <c r="G65" s="31"/>
      <c r="H65" s="31"/>
      <c r="I65" s="31"/>
      <c r="J65" s="31"/>
      <c r="K65" s="31"/>
      <c r="L65" s="31"/>
      <c r="M65" s="31"/>
      <c r="N65" s="31"/>
      <c r="O65" s="31"/>
      <c r="P65" s="31"/>
      <c r="Q65" s="31"/>
    </row>
    <row r="66" spans="1:17" x14ac:dyDescent="0.2">
      <c r="A66" s="195" t="s">
        <v>306</v>
      </c>
      <c r="B66" s="196"/>
      <c r="C66" s="36">
        <f>ROUND(IF(C60=0, 0,C14- C60),0)</f>
        <v>0</v>
      </c>
      <c r="E66" s="31"/>
      <c r="F66" s="217"/>
      <c r="G66" s="31"/>
      <c r="H66" s="31"/>
      <c r="I66" s="31"/>
      <c r="J66" s="31"/>
      <c r="K66" s="31"/>
      <c r="L66" s="31"/>
      <c r="M66" s="31"/>
      <c r="N66" s="31"/>
      <c r="O66" s="31"/>
      <c r="P66" s="31"/>
      <c r="Q66" s="31"/>
    </row>
    <row r="67" spans="1:17" x14ac:dyDescent="0.2">
      <c r="A67" s="689" t="s">
        <v>161</v>
      </c>
      <c r="B67" s="690"/>
      <c r="C67" s="36">
        <f>ROUND(IF(C61=0, 0,C15- C61),0)</f>
        <v>0</v>
      </c>
      <c r="D67" s="37"/>
      <c r="E67" s="31"/>
      <c r="F67" s="217"/>
      <c r="G67" s="31"/>
      <c r="H67" s="31"/>
      <c r="I67" s="31"/>
      <c r="J67" s="31"/>
      <c r="K67" s="31"/>
      <c r="L67" s="31"/>
      <c r="M67" s="31"/>
      <c r="N67" s="31"/>
      <c r="O67" s="31"/>
      <c r="P67" s="31"/>
      <c r="Q67" s="31"/>
    </row>
    <row r="68" spans="1:17" x14ac:dyDescent="0.2">
      <c r="A68" s="693" t="s">
        <v>162</v>
      </c>
      <c r="B68" s="694"/>
      <c r="C68" s="38"/>
      <c r="D68" s="37"/>
      <c r="E68" s="31"/>
      <c r="F68" s="217"/>
      <c r="G68" s="31"/>
      <c r="H68" s="31"/>
      <c r="I68" s="31"/>
      <c r="J68" s="31"/>
      <c r="K68" s="31"/>
      <c r="L68" s="31"/>
      <c r="M68" s="31"/>
      <c r="N68" s="31"/>
      <c r="O68" s="31"/>
      <c r="P68" s="31"/>
      <c r="Q68" s="31"/>
    </row>
    <row r="69" spans="1:17" x14ac:dyDescent="0.2">
      <c r="A69" s="693" t="s">
        <v>163</v>
      </c>
      <c r="B69" s="694"/>
      <c r="C69" s="40">
        <f>C65*C61</f>
        <v>0</v>
      </c>
      <c r="E69" s="31"/>
      <c r="F69" s="217"/>
      <c r="G69" s="31"/>
      <c r="H69" s="31"/>
      <c r="I69" s="31"/>
      <c r="J69" s="31"/>
      <c r="K69" s="31"/>
      <c r="L69" s="31"/>
      <c r="M69" s="31"/>
      <c r="N69" s="31"/>
      <c r="O69" s="31"/>
      <c r="P69" s="31"/>
      <c r="Q69" s="31"/>
    </row>
    <row r="70" spans="1:17" x14ac:dyDescent="0.2">
      <c r="A70" s="195" t="s">
        <v>164</v>
      </c>
      <c r="B70" s="196"/>
      <c r="C70" s="40">
        <f ca="1">(C67+C68)*C20+C61*(C20-C65)</f>
        <v>0</v>
      </c>
      <c r="E70" s="31"/>
      <c r="F70" s="217"/>
      <c r="G70" s="31"/>
      <c r="H70" s="31"/>
      <c r="I70" s="31"/>
      <c r="J70" s="31"/>
      <c r="K70" s="31"/>
      <c r="L70" s="31"/>
      <c r="M70" s="31"/>
      <c r="N70" s="31"/>
      <c r="O70" s="31"/>
      <c r="P70" s="31"/>
      <c r="Q70" s="31"/>
    </row>
    <row r="71" spans="1:17" x14ac:dyDescent="0.2">
      <c r="A71" s="195" t="s">
        <v>165</v>
      </c>
      <c r="B71" s="196"/>
      <c r="C71" s="41">
        <f ca="1">(C67+C68)/C15</f>
        <v>0</v>
      </c>
      <c r="E71" s="31"/>
      <c r="F71" s="217"/>
      <c r="G71" s="31"/>
      <c r="H71" s="31"/>
      <c r="I71" s="31"/>
      <c r="J71" s="31"/>
      <c r="K71" s="31"/>
      <c r="L71" s="31"/>
      <c r="M71" s="31"/>
      <c r="N71" s="31"/>
      <c r="O71" s="31"/>
      <c r="P71" s="31"/>
      <c r="Q71" s="31"/>
    </row>
    <row r="72" spans="1:17" x14ac:dyDescent="0.2">
      <c r="A72" s="42"/>
      <c r="B72" s="43"/>
      <c r="C72" s="44"/>
    </row>
    <row r="73" spans="1:17" x14ac:dyDescent="0.2">
      <c r="A73" s="689" t="s">
        <v>10</v>
      </c>
      <c r="B73" s="690"/>
      <c r="C73" s="45"/>
      <c r="E73" s="46"/>
    </row>
    <row r="74" spans="1:17" x14ac:dyDescent="0.2">
      <c r="A74" s="695" t="s">
        <v>153</v>
      </c>
      <c r="B74" s="696"/>
      <c r="C74" s="38"/>
      <c r="E74" s="46"/>
    </row>
    <row r="75" spans="1:17" x14ac:dyDescent="0.2">
      <c r="A75" s="695" t="s">
        <v>154</v>
      </c>
      <c r="B75" s="696"/>
      <c r="C75" s="38"/>
      <c r="E75" s="46"/>
    </row>
    <row r="76" spans="1:17" x14ac:dyDescent="0.2">
      <c r="A76" s="689" t="s">
        <v>166</v>
      </c>
      <c r="B76" s="690"/>
      <c r="C76" s="35"/>
    </row>
    <row r="77" spans="1:17" x14ac:dyDescent="0.2">
      <c r="A77" s="689" t="s">
        <v>167</v>
      </c>
      <c r="B77" s="690"/>
      <c r="C77" s="36">
        <f>ROUND(IF(C73=0,0,C21-C73),0)</f>
        <v>0</v>
      </c>
      <c r="D77" s="46"/>
    </row>
    <row r="78" spans="1:17" x14ac:dyDescent="0.2">
      <c r="A78" s="689" t="s">
        <v>168</v>
      </c>
      <c r="B78" s="690"/>
      <c r="C78" s="47"/>
    </row>
    <row r="79" spans="1:17" x14ac:dyDescent="0.2">
      <c r="A79" s="689" t="s">
        <v>169</v>
      </c>
      <c r="B79" s="690"/>
      <c r="C79" s="39">
        <f>C73*C76</f>
        <v>0</v>
      </c>
    </row>
    <row r="80" spans="1:17" x14ac:dyDescent="0.2">
      <c r="A80" s="191" t="s">
        <v>170</v>
      </c>
      <c r="B80" s="192"/>
      <c r="C80" s="40">
        <f ca="1">(C77+C78)*C25+C73*(C25-C76)</f>
        <v>0</v>
      </c>
    </row>
    <row r="81" spans="1:3" x14ac:dyDescent="0.2">
      <c r="A81" s="689" t="s">
        <v>171</v>
      </c>
      <c r="B81" s="690"/>
      <c r="C81" s="41">
        <f ca="1">(C77+C78)/C21</f>
        <v>0</v>
      </c>
    </row>
    <row r="82" spans="1:3" x14ac:dyDescent="0.2">
      <c r="A82" s="42"/>
      <c r="B82" s="43"/>
      <c r="C82" s="44"/>
    </row>
    <row r="83" spans="1:3" x14ac:dyDescent="0.2">
      <c r="A83" s="689" t="s">
        <v>172</v>
      </c>
      <c r="B83" s="690"/>
      <c r="C83" s="48"/>
    </row>
    <row r="84" spans="1:3" ht="15" x14ac:dyDescent="0.3">
      <c r="A84" s="689" t="s">
        <v>173</v>
      </c>
      <c r="B84" s="690"/>
      <c r="C84" s="232">
        <f ca="1">B26-C83</f>
        <v>3340</v>
      </c>
    </row>
    <row r="85" spans="1:3" ht="13.5" thickBot="1" x14ac:dyDescent="0.25">
      <c r="A85" s="193" t="s">
        <v>174</v>
      </c>
      <c r="B85" s="194"/>
      <c r="C85" s="233">
        <f ca="1">IF(B26&gt;0,C84/B26,0)</f>
        <v>1</v>
      </c>
    </row>
    <row r="86" spans="1:3" ht="13.5" thickBot="1" x14ac:dyDescent="0.25">
      <c r="C86" s="30"/>
    </row>
    <row r="87" spans="1:3" ht="13.5" thickBot="1" x14ac:dyDescent="0.25">
      <c r="A87" s="697" t="s">
        <v>175</v>
      </c>
      <c r="B87" s="698"/>
      <c r="C87" s="49">
        <f ca="1">C70+C80+C84</f>
        <v>3340</v>
      </c>
    </row>
    <row r="88" spans="1:3" ht="13.5" thickBot="1" x14ac:dyDescent="0.25">
      <c r="A88" s="699" t="s">
        <v>9</v>
      </c>
      <c r="B88" s="700"/>
      <c r="C88" s="50">
        <f ca="1">C107</f>
        <v>37135.414023441517</v>
      </c>
    </row>
    <row r="90" spans="1:3" x14ac:dyDescent="0.2">
      <c r="A90" s="701" t="s">
        <v>8</v>
      </c>
      <c r="B90" s="701"/>
      <c r="C90" s="701"/>
    </row>
    <row r="91" spans="1:3" x14ac:dyDescent="0.2">
      <c r="A91" s="190" t="s">
        <v>7</v>
      </c>
      <c r="B91" s="190" t="s">
        <v>6</v>
      </c>
      <c r="C91" s="190" t="s">
        <v>5</v>
      </c>
    </row>
    <row r="92" spans="1:3" x14ac:dyDescent="0.2">
      <c r="A92" s="51">
        <v>1</v>
      </c>
      <c r="B92" s="52">
        <f ca="1">$C$87</f>
        <v>3340</v>
      </c>
      <c r="C92" s="53">
        <f t="shared" ref="C92:C106" ca="1" si="1">B92/(1+$B$109)^A92</f>
        <v>3211.5384615384614</v>
      </c>
    </row>
    <row r="93" spans="1:3" x14ac:dyDescent="0.2">
      <c r="A93" s="51">
        <v>2</v>
      </c>
      <c r="B93" s="52">
        <f t="shared" ref="B93:B106" ca="1" si="2">$C$87</f>
        <v>3340</v>
      </c>
      <c r="C93" s="53">
        <f t="shared" ca="1" si="1"/>
        <v>3088.0177514792895</v>
      </c>
    </row>
    <row r="94" spans="1:3" x14ac:dyDescent="0.2">
      <c r="A94" s="51">
        <v>3</v>
      </c>
      <c r="B94" s="52">
        <f t="shared" ca="1" si="2"/>
        <v>3340</v>
      </c>
      <c r="C94" s="53">
        <f t="shared" ca="1" si="1"/>
        <v>2969.2478379608556</v>
      </c>
    </row>
    <row r="95" spans="1:3" x14ac:dyDescent="0.2">
      <c r="A95" s="51">
        <v>4</v>
      </c>
      <c r="B95" s="52">
        <f t="shared" ca="1" si="2"/>
        <v>3340</v>
      </c>
      <c r="C95" s="53">
        <f t="shared" ca="1" si="1"/>
        <v>2855.0459980392839</v>
      </c>
    </row>
    <row r="96" spans="1:3" x14ac:dyDescent="0.2">
      <c r="A96" s="51">
        <v>5</v>
      </c>
      <c r="B96" s="52">
        <f t="shared" ca="1" si="2"/>
        <v>3340</v>
      </c>
      <c r="C96" s="53">
        <f t="shared" ca="1" si="1"/>
        <v>2745.2365365762344</v>
      </c>
    </row>
    <row r="97" spans="1:17" x14ac:dyDescent="0.2">
      <c r="A97" s="51">
        <v>6</v>
      </c>
      <c r="B97" s="52">
        <f t="shared" ca="1" si="2"/>
        <v>3340</v>
      </c>
      <c r="C97" s="53">
        <f t="shared" ca="1" si="1"/>
        <v>2639.6505159386866</v>
      </c>
    </row>
    <row r="98" spans="1:17" x14ac:dyDescent="0.2">
      <c r="A98" s="51">
        <v>7</v>
      </c>
      <c r="B98" s="52">
        <f t="shared" ca="1" si="2"/>
        <v>3340</v>
      </c>
      <c r="C98" s="53">
        <f t="shared" ca="1" si="1"/>
        <v>2538.1254960948913</v>
      </c>
    </row>
    <row r="99" spans="1:17" x14ac:dyDescent="0.2">
      <c r="A99" s="51">
        <v>8</v>
      </c>
      <c r="B99" s="52">
        <f t="shared" ca="1" si="2"/>
        <v>3340</v>
      </c>
      <c r="C99" s="53">
        <f t="shared" ca="1" si="1"/>
        <v>2440.5052847066258</v>
      </c>
    </row>
    <row r="100" spans="1:17" x14ac:dyDescent="0.2">
      <c r="A100" s="51">
        <v>9</v>
      </c>
      <c r="B100" s="52">
        <f t="shared" ca="1" si="2"/>
        <v>3340</v>
      </c>
      <c r="C100" s="53">
        <f t="shared" ca="1" si="1"/>
        <v>2346.6396968332938</v>
      </c>
    </row>
    <row r="101" spans="1:17" x14ac:dyDescent="0.2">
      <c r="A101" s="51">
        <v>10</v>
      </c>
      <c r="B101" s="52">
        <f t="shared" ca="1" si="2"/>
        <v>3340</v>
      </c>
      <c r="C101" s="53">
        <f t="shared" ca="1" si="1"/>
        <v>2256.3843238781674</v>
      </c>
    </row>
    <row r="102" spans="1:17" s="30" customFormat="1" x14ac:dyDescent="0.2">
      <c r="A102" s="51">
        <v>11</v>
      </c>
      <c r="B102" s="52">
        <f t="shared" ca="1" si="2"/>
        <v>3340</v>
      </c>
      <c r="C102" s="53">
        <f t="shared" ca="1" si="1"/>
        <v>2169.6003114213149</v>
      </c>
      <c r="D102" s="1"/>
      <c r="E102" s="1"/>
      <c r="G102" s="1"/>
      <c r="H102" s="1"/>
      <c r="I102" s="1"/>
      <c r="J102" s="1"/>
      <c r="K102" s="1"/>
      <c r="L102" s="1"/>
      <c r="M102" s="1"/>
      <c r="N102" s="1"/>
      <c r="O102" s="1"/>
      <c r="P102" s="1"/>
      <c r="Q102" s="1"/>
    </row>
    <row r="103" spans="1:17" s="30" customFormat="1" x14ac:dyDescent="0.2">
      <c r="A103" s="51">
        <v>12</v>
      </c>
      <c r="B103" s="52">
        <f t="shared" ca="1" si="2"/>
        <v>3340</v>
      </c>
      <c r="C103" s="53">
        <f t="shared" ca="1" si="1"/>
        <v>2086.1541455974175</v>
      </c>
      <c r="D103" s="1"/>
      <c r="E103" s="1"/>
      <c r="G103" s="1"/>
      <c r="H103" s="1"/>
      <c r="I103" s="1"/>
      <c r="J103" s="1"/>
      <c r="K103" s="1"/>
      <c r="L103" s="1"/>
      <c r="M103" s="1"/>
      <c r="N103" s="1"/>
      <c r="O103" s="1"/>
      <c r="P103" s="1"/>
      <c r="Q103" s="1"/>
    </row>
    <row r="104" spans="1:17" s="30" customFormat="1" x14ac:dyDescent="0.2">
      <c r="A104" s="51">
        <v>13</v>
      </c>
      <c r="B104" s="52">
        <f t="shared" ca="1" si="2"/>
        <v>3340</v>
      </c>
      <c r="C104" s="53">
        <f t="shared" ca="1" si="1"/>
        <v>2005.9174476898245</v>
      </c>
      <c r="D104" s="1"/>
      <c r="E104" s="1"/>
      <c r="G104" s="1"/>
      <c r="H104" s="1"/>
      <c r="I104" s="1"/>
      <c r="J104" s="1"/>
      <c r="K104" s="1"/>
      <c r="L104" s="1"/>
      <c r="M104" s="1"/>
      <c r="N104" s="1"/>
      <c r="O104" s="1"/>
      <c r="P104" s="1"/>
      <c r="Q104" s="1"/>
    </row>
    <row r="105" spans="1:17" s="30" customFormat="1" x14ac:dyDescent="0.2">
      <c r="A105" s="51">
        <v>14</v>
      </c>
      <c r="B105" s="52">
        <f t="shared" ca="1" si="2"/>
        <v>3340</v>
      </c>
      <c r="C105" s="53">
        <f t="shared" ca="1" si="1"/>
        <v>1928.7667766248312</v>
      </c>
      <c r="D105" s="1"/>
      <c r="E105" s="1"/>
      <c r="G105" s="1"/>
      <c r="H105" s="1"/>
      <c r="I105" s="1"/>
      <c r="J105" s="1"/>
      <c r="K105" s="1"/>
      <c r="L105" s="1"/>
      <c r="M105" s="1"/>
      <c r="N105" s="1"/>
      <c r="O105" s="1"/>
      <c r="P105" s="1"/>
      <c r="Q105" s="1"/>
    </row>
    <row r="106" spans="1:17" s="30" customFormat="1" x14ac:dyDescent="0.2">
      <c r="A106" s="51">
        <v>15</v>
      </c>
      <c r="B106" s="52">
        <f t="shared" ca="1" si="2"/>
        <v>3340</v>
      </c>
      <c r="C106" s="53">
        <f t="shared" ca="1" si="1"/>
        <v>1854.5834390623379</v>
      </c>
      <c r="D106" s="1"/>
      <c r="E106" s="1"/>
      <c r="G106" s="1"/>
      <c r="H106" s="1"/>
      <c r="I106" s="1"/>
      <c r="J106" s="1"/>
      <c r="K106" s="1"/>
      <c r="L106" s="1"/>
      <c r="M106" s="1"/>
      <c r="N106" s="1"/>
      <c r="O106" s="1"/>
      <c r="P106" s="1"/>
      <c r="Q106" s="1"/>
    </row>
    <row r="107" spans="1:17" s="30" customFormat="1" x14ac:dyDescent="0.2">
      <c r="A107" s="702" t="s">
        <v>4</v>
      </c>
      <c r="B107" s="702"/>
      <c r="C107" s="54">
        <f ca="1">SUM(C92:C106)</f>
        <v>37135.414023441517</v>
      </c>
      <c r="D107" s="1"/>
      <c r="E107" s="1"/>
      <c r="G107" s="1"/>
      <c r="H107" s="1"/>
      <c r="I107" s="1"/>
      <c r="J107" s="1"/>
      <c r="K107" s="1"/>
      <c r="L107" s="1"/>
      <c r="M107" s="1"/>
      <c r="N107" s="1"/>
      <c r="O107" s="1"/>
      <c r="P107" s="1"/>
      <c r="Q107" s="1"/>
    </row>
    <row r="109" spans="1:17" s="30" customFormat="1" x14ac:dyDescent="0.2">
      <c r="A109" s="55" t="s">
        <v>3</v>
      </c>
      <c r="B109" s="56">
        <v>0.04</v>
      </c>
      <c r="C109" s="1"/>
      <c r="D109" s="1"/>
      <c r="E109" s="1"/>
      <c r="G109" s="1"/>
      <c r="H109" s="1"/>
      <c r="I109" s="1"/>
      <c r="J109" s="1"/>
      <c r="K109" s="1"/>
      <c r="L109" s="1"/>
      <c r="M109" s="1"/>
      <c r="N109" s="1"/>
      <c r="O109" s="1"/>
      <c r="P109" s="1"/>
      <c r="Q109" s="1"/>
    </row>
    <row r="111" spans="1:17" s="30" customFormat="1" x14ac:dyDescent="0.2">
      <c r="A111" s="1" t="s">
        <v>176</v>
      </c>
      <c r="B111" s="1"/>
      <c r="C111" s="1"/>
      <c r="D111" s="1"/>
      <c r="E111" s="1"/>
      <c r="G111" s="1"/>
      <c r="H111" s="1"/>
      <c r="I111" s="1"/>
      <c r="J111" s="1"/>
      <c r="K111" s="1"/>
      <c r="L111" s="1"/>
      <c r="M111" s="1"/>
      <c r="N111" s="1"/>
      <c r="O111" s="1"/>
      <c r="P111" s="1"/>
      <c r="Q111" s="1"/>
    </row>
    <row r="112" spans="1:17" ht="13.5" thickBot="1" x14ac:dyDescent="0.25"/>
    <row r="113" spans="1:17" s="30" customFormat="1" ht="43.5" customHeight="1" x14ac:dyDescent="0.2">
      <c r="A113" s="238" t="s">
        <v>317</v>
      </c>
      <c r="B113" s="239" t="s">
        <v>177</v>
      </c>
      <c r="C113" s="239" t="s">
        <v>178</v>
      </c>
      <c r="D113" s="239" t="s">
        <v>179</v>
      </c>
      <c r="E113" s="240" t="s">
        <v>297</v>
      </c>
      <c r="G113" s="1"/>
      <c r="H113" s="1"/>
      <c r="I113" s="1"/>
      <c r="J113" s="1"/>
      <c r="K113" s="1"/>
      <c r="L113" s="1"/>
      <c r="M113" s="1"/>
      <c r="N113" s="1"/>
      <c r="O113" s="1"/>
      <c r="P113" s="1"/>
      <c r="Q113" s="1"/>
    </row>
    <row r="114" spans="1:17" s="30" customFormat="1" x14ac:dyDescent="0.2">
      <c r="A114" s="241" t="s">
        <v>320</v>
      </c>
      <c r="B114" s="234"/>
      <c r="C114" s="59">
        <f t="shared" ref="C114:C119" si="3">B114*$C$61</f>
        <v>0</v>
      </c>
      <c r="D114" s="237"/>
      <c r="E114" s="235"/>
      <c r="G114" s="1"/>
      <c r="H114" s="1"/>
      <c r="I114" s="1"/>
      <c r="J114" s="1"/>
      <c r="K114" s="1"/>
      <c r="L114" s="1"/>
      <c r="M114" s="1"/>
      <c r="N114" s="1"/>
      <c r="O114" s="1"/>
      <c r="P114" s="1"/>
      <c r="Q114" s="1"/>
    </row>
    <row r="115" spans="1:17" s="30" customFormat="1" x14ac:dyDescent="0.2">
      <c r="A115" s="241" t="s">
        <v>318</v>
      </c>
      <c r="B115" s="234"/>
      <c r="C115" s="59">
        <f t="shared" si="3"/>
        <v>0</v>
      </c>
      <c r="D115" s="237"/>
      <c r="E115" s="235"/>
      <c r="G115" s="1"/>
      <c r="H115" s="1"/>
      <c r="I115" s="1"/>
      <c r="J115" s="1"/>
      <c r="K115" s="1"/>
      <c r="L115" s="1"/>
      <c r="M115" s="1"/>
      <c r="N115" s="1"/>
      <c r="O115" s="1"/>
      <c r="P115" s="1"/>
      <c r="Q115" s="1"/>
    </row>
    <row r="116" spans="1:17" s="30" customFormat="1" x14ac:dyDescent="0.2">
      <c r="A116" s="241" t="s">
        <v>319</v>
      </c>
      <c r="B116" s="234"/>
      <c r="C116" s="59">
        <f t="shared" si="3"/>
        <v>0</v>
      </c>
      <c r="D116" s="237"/>
      <c r="E116" s="235"/>
      <c r="G116" s="1"/>
      <c r="H116" s="1"/>
      <c r="I116" s="1"/>
      <c r="J116" s="1"/>
      <c r="K116" s="1"/>
      <c r="L116" s="1"/>
      <c r="M116" s="1"/>
      <c r="N116" s="1"/>
      <c r="O116" s="1"/>
      <c r="P116" s="1"/>
      <c r="Q116" s="1"/>
    </row>
    <row r="117" spans="1:17" s="30" customFormat="1" x14ac:dyDescent="0.2">
      <c r="A117" s="241" t="s">
        <v>230</v>
      </c>
      <c r="B117" s="234">
        <v>0</v>
      </c>
      <c r="C117" s="59">
        <f t="shared" si="3"/>
        <v>0</v>
      </c>
      <c r="D117" s="237">
        <v>0</v>
      </c>
      <c r="E117" s="235">
        <v>0</v>
      </c>
      <c r="G117" s="1"/>
      <c r="H117" s="1"/>
      <c r="I117" s="1"/>
      <c r="J117" s="1"/>
      <c r="K117" s="1"/>
      <c r="L117" s="1"/>
      <c r="M117" s="1"/>
      <c r="N117" s="1"/>
      <c r="O117" s="1"/>
      <c r="P117" s="1"/>
      <c r="Q117" s="1"/>
    </row>
    <row r="118" spans="1:17" x14ac:dyDescent="0.2">
      <c r="A118" s="241" t="s">
        <v>83</v>
      </c>
      <c r="B118" s="234">
        <v>0</v>
      </c>
      <c r="C118" s="59">
        <f t="shared" si="3"/>
        <v>0</v>
      </c>
      <c r="D118" s="237">
        <v>0</v>
      </c>
      <c r="E118" s="235">
        <v>0</v>
      </c>
    </row>
    <row r="119" spans="1:17" x14ac:dyDescent="0.2">
      <c r="A119" s="241" t="s">
        <v>180</v>
      </c>
      <c r="B119" s="234">
        <v>0</v>
      </c>
      <c r="C119" s="59">
        <f t="shared" si="3"/>
        <v>0</v>
      </c>
      <c r="D119" s="237">
        <v>0</v>
      </c>
      <c r="E119" s="235">
        <v>0</v>
      </c>
    </row>
    <row r="120" spans="1:17" x14ac:dyDescent="0.2">
      <c r="A120" s="241" t="s">
        <v>231</v>
      </c>
      <c r="B120" s="234">
        <v>0</v>
      </c>
      <c r="C120" s="59">
        <f>B120*$C$61</f>
        <v>0</v>
      </c>
      <c r="D120" s="237">
        <v>0</v>
      </c>
      <c r="E120" s="235">
        <v>0</v>
      </c>
    </row>
    <row r="121" spans="1:17" s="31" customFormat="1" ht="13.5" thickBot="1" x14ac:dyDescent="0.25">
      <c r="A121" s="242" t="s">
        <v>5</v>
      </c>
      <c r="B121" s="243">
        <f>SUM(B114:B120)</f>
        <v>0</v>
      </c>
      <c r="C121" s="244">
        <f>SUM(C114:C120)</f>
        <v>0</v>
      </c>
      <c r="D121" s="245">
        <f>SUM(D114:D120)</f>
        <v>0</v>
      </c>
      <c r="E121" s="246"/>
      <c r="F121" s="217"/>
    </row>
    <row r="123" spans="1:17" ht="25.5" x14ac:dyDescent="0.2">
      <c r="A123" s="60" t="s">
        <v>181</v>
      </c>
      <c r="B123" s="57" t="s">
        <v>182</v>
      </c>
      <c r="C123" s="57" t="s">
        <v>183</v>
      </c>
    </row>
    <row r="124" spans="1:17" x14ac:dyDescent="0.2">
      <c r="A124" s="58" t="s">
        <v>68</v>
      </c>
      <c r="B124" s="61"/>
      <c r="C124" s="61"/>
    </row>
    <row r="125" spans="1:17" x14ac:dyDescent="0.2">
      <c r="A125" s="58" t="s">
        <v>184</v>
      </c>
      <c r="B125" s="61"/>
      <c r="C125" s="61"/>
    </row>
  </sheetData>
  <mergeCells count="34">
    <mergeCell ref="A87:B87"/>
    <mergeCell ref="A88:B88"/>
    <mergeCell ref="A90:C90"/>
    <mergeCell ref="A107:B107"/>
    <mergeCell ref="A77:B77"/>
    <mergeCell ref="A78:B78"/>
    <mergeCell ref="A79:B79"/>
    <mergeCell ref="A81:B81"/>
    <mergeCell ref="A83:B83"/>
    <mergeCell ref="A84:B84"/>
    <mergeCell ref="A76:B76"/>
    <mergeCell ref="B57:C57"/>
    <mergeCell ref="A59:C59"/>
    <mergeCell ref="A60:B60"/>
    <mergeCell ref="A61:B61"/>
    <mergeCell ref="A65:B65"/>
    <mergeCell ref="A67:B67"/>
    <mergeCell ref="A68:B68"/>
    <mergeCell ref="A69:B69"/>
    <mergeCell ref="A73:B73"/>
    <mergeCell ref="A74:B74"/>
    <mergeCell ref="A75:B75"/>
    <mergeCell ref="B56:C56"/>
    <mergeCell ref="A1:B1"/>
    <mergeCell ref="A3:C3"/>
    <mergeCell ref="B4:C4"/>
    <mergeCell ref="B5:C5"/>
    <mergeCell ref="B6:C6"/>
    <mergeCell ref="B7:C7"/>
    <mergeCell ref="B8:C8"/>
    <mergeCell ref="B9:C9"/>
    <mergeCell ref="B10:C10"/>
    <mergeCell ref="A12:C12"/>
    <mergeCell ref="B55:C55"/>
  </mergeCells>
  <conditionalFormatting sqref="C84">
    <cfRule type="cellIs" dxfId="54" priority="1" operator="lessThan">
      <formula>0</formula>
    </cfRule>
  </conditionalFormatting>
  <pageMargins left="0.70866141732283472" right="0.70866141732283472" top="0.74803149606299213" bottom="0.74803149606299213" header="0.31496062992125984" footer="0.31496062992125984"/>
  <pageSetup paperSize="9" scale="62" fitToHeight="0" orientation="portrait" r:id="rId1"/>
  <headerFooter>
    <oddFooter>&amp;L&amp;A&amp;R&amp;P/&amp;N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21</vt:i4>
      </vt:variant>
      <vt:variant>
        <vt:lpstr>Imenovani obsegi</vt:lpstr>
      </vt:variant>
      <vt:variant>
        <vt:i4>2</vt:i4>
      </vt:variant>
    </vt:vector>
  </HeadingPairs>
  <TitlesOfParts>
    <vt:vector size="23" baseType="lpstr">
      <vt:lpstr>Program</vt:lpstr>
      <vt:lpstr>Podatki o objektih</vt:lpstr>
      <vt:lpstr>Referenčne količine</vt:lpstr>
      <vt:lpstr>Cene energentov</vt:lpstr>
      <vt:lpstr>STANDARD UDOBJA</vt:lpstr>
      <vt:lpstr>UKREPI - splošno</vt:lpstr>
      <vt:lpstr>EN. UPRAVLJANJE</vt:lpstr>
      <vt:lpstr>UKREPI (PO OBJEKTIH)</vt:lpstr>
      <vt:lpstr>OB001</vt:lpstr>
      <vt:lpstr>OB003</vt:lpstr>
      <vt:lpstr>OB004</vt:lpstr>
      <vt:lpstr>OB005</vt:lpstr>
      <vt:lpstr>OB007</vt:lpstr>
      <vt:lpstr>OB008</vt:lpstr>
      <vt:lpstr>OB009</vt:lpstr>
      <vt:lpstr>OB010</vt:lpstr>
      <vt:lpstr>OB011</vt:lpstr>
      <vt:lpstr>OB012</vt:lpstr>
      <vt:lpstr>OB013</vt:lpstr>
      <vt:lpstr>SKUPAJ</vt:lpstr>
      <vt:lpstr>VZOREC OBRAČUNA</vt:lpstr>
      <vt:lpstr>Program!Področje_tiskanja</vt:lpstr>
      <vt:lpstr>'Referenčne količine'!Področje_tiskanja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Marko Hočevar</dc:creator>
  <cp:lastModifiedBy>Uporabnik sistema Windows</cp:lastModifiedBy>
  <cp:lastPrinted>2021-09-02T07:41:29Z</cp:lastPrinted>
  <dcterms:created xsi:type="dcterms:W3CDTF">2006-09-16T00:00:00Z</dcterms:created>
  <dcterms:modified xsi:type="dcterms:W3CDTF">2021-11-22T08:33:56Z</dcterms:modified>
</cp:coreProperties>
</file>