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Y:\PROJEKTI_18\BREZOVICA-aglomeracije\1405_Brezovica_PZI\2_1_kanal\"/>
    </mc:Choice>
  </mc:AlternateContent>
  <xr:revisionPtr revIDLastSave="0" documentId="13_ncr:1_{A0010C3C-962C-4370-8F29-29B15691560D}" xr6:coauthVersionLast="47" xr6:coauthVersionMax="47" xr10:uidLastSave="{00000000-0000-0000-0000-000000000000}"/>
  <bookViews>
    <workbookView xWindow="-120" yWindow="-120" windowWidth="29040" windowHeight="15840" tabRatio="590" xr2:uid="{00000000-000D-0000-FFFF-FFFF00000000}"/>
  </bookViews>
  <sheets>
    <sheet name="Rekapitulacija" sheetId="1" r:id="rId1"/>
    <sheet name="0-Preddela" sheetId="2" r:id="rId2"/>
    <sheet name="Odsek 1" sheetId="3" r:id="rId3"/>
    <sheet name="Odsek 2" sheetId="4" r:id="rId4"/>
    <sheet name="Odsek 3" sheetId="5" r:id="rId5"/>
    <sheet name="Odsek 4" sheetId="6" r:id="rId6"/>
    <sheet name="5 Črp-gradbeni in strojni" sheetId="7" r:id="rId7"/>
    <sheet name="6 Črp-elektro instalacije" sheetId="8" r:id="rId8"/>
  </sheets>
  <definedNames>
    <definedName name="_Hlk9417092" localSheetId="0">Rekapitulacija!#REF!</definedName>
    <definedName name="_xlnm.Print_Area" localSheetId="1">'0-Preddela'!$B$1:$G$16</definedName>
    <definedName name="_xlnm.Print_Area" localSheetId="6">'5 Črp-gradbeni in strojni'!$B$1:$G$161</definedName>
    <definedName name="_xlnm.Print_Area" localSheetId="2">'Odsek 1'!$A$1:$G$146</definedName>
    <definedName name="_xlnm.Print_Area" localSheetId="3">'Odsek 2'!$A$1:$G$147</definedName>
    <definedName name="_xlnm.Print_Area" localSheetId="4">'Odsek 3'!$B$1:$G$150</definedName>
    <definedName name="_xlnm.Print_Area" localSheetId="5">'Odsek 4'!$A$1:$G$150</definedName>
    <definedName name="_xlnm.Print_Area" localSheetId="0">Rekapitulacija!$A$1:$D$73</definedName>
    <definedName name="_xlnm.Print_Titles" localSheetId="1">'0-Preddela'!$3:$3</definedName>
    <definedName name="_xlnm.Print_Titles" localSheetId="6">'5 Črp-gradbeni in strojni'!$19:$19</definedName>
    <definedName name="_xlnm.Print_Titles" localSheetId="7">'6 Črp-elektro instalacije'!$10:$10</definedName>
    <definedName name="_xlnm.Print_Titles" localSheetId="2">'Odsek 1'!$19:$19</definedName>
    <definedName name="_xlnm.Print_Titles" localSheetId="3">'Odsek 2'!$19:$19</definedName>
    <definedName name="_xlnm.Print_Titles" localSheetId="4">'Odsek 3'!$19:$19</definedName>
    <definedName name="_xlnm.Print_Titles" localSheetId="5">'Odsek 4'!$19:$19</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G24" i="7" l="1"/>
  <c r="F146" i="8"/>
  <c r="F144" i="8"/>
  <c r="F164" i="8" s="1"/>
  <c r="F142" i="8"/>
  <c r="F141" i="8"/>
  <c r="F143" i="8" s="1"/>
  <c r="F163" i="8" s="1"/>
  <c r="F137" i="8"/>
  <c r="F136" i="8"/>
  <c r="F135" i="8"/>
  <c r="F138" i="8" s="1"/>
  <c r="F162" i="8" s="1"/>
  <c r="F125" i="8"/>
  <c r="F124" i="8"/>
  <c r="F123" i="8"/>
  <c r="F122" i="8"/>
  <c r="F121" i="8"/>
  <c r="F120" i="8"/>
  <c r="F119" i="8"/>
  <c r="F118" i="8"/>
  <c r="F117" i="8"/>
  <c r="F116" i="8"/>
  <c r="F111" i="8"/>
  <c r="F110" i="8"/>
  <c r="F109" i="8"/>
  <c r="F108" i="8"/>
  <c r="F107" i="8"/>
  <c r="F101" i="8"/>
  <c r="F100" i="8"/>
  <c r="F99" i="8"/>
  <c r="F98" i="8"/>
  <c r="F93" i="8"/>
  <c r="F92" i="8"/>
  <c r="F91" i="8"/>
  <c r="F90" i="8"/>
  <c r="F89" i="8"/>
  <c r="F88" i="8"/>
  <c r="F87" i="8"/>
  <c r="F86" i="8"/>
  <c r="F85" i="8"/>
  <c r="F84" i="8"/>
  <c r="F83" i="8"/>
  <c r="F82" i="8"/>
  <c r="F76" i="8"/>
  <c r="F75" i="8"/>
  <c r="F74" i="8"/>
  <c r="F73" i="8"/>
  <c r="F72" i="8"/>
  <c r="F69" i="8"/>
  <c r="F67" i="8"/>
  <c r="F66" i="8"/>
  <c r="F65" i="8"/>
  <c r="F62" i="8"/>
  <c r="F61" i="8"/>
  <c r="F60" i="8"/>
  <c r="F59" i="8"/>
  <c r="F58" i="8"/>
  <c r="F57" i="8"/>
  <c r="F55" i="8"/>
  <c r="F53" i="8"/>
  <c r="F52" i="8"/>
  <c r="F51" i="8"/>
  <c r="F50" i="8"/>
  <c r="F48" i="8"/>
  <c r="F46" i="8"/>
  <c r="F26" i="8"/>
  <c r="F14" i="8"/>
  <c r="G158" i="7"/>
  <c r="G155" i="7"/>
  <c r="F112" i="8" l="1"/>
  <c r="F160" i="8" s="1"/>
  <c r="F78" i="8"/>
  <c r="F157" i="8" s="1"/>
  <c r="F127" i="8"/>
  <c r="F161" i="8" s="1"/>
  <c r="F103" i="8"/>
  <c r="F159" i="8" s="1"/>
  <c r="F95" i="8"/>
  <c r="F158" i="8" s="1"/>
  <c r="G154" i="7"/>
  <c r="G153" i="7"/>
  <c r="G152" i="7"/>
  <c r="G151" i="7"/>
  <c r="G150" i="7"/>
  <c r="G149" i="7"/>
  <c r="G148" i="7"/>
  <c r="G28" i="7"/>
  <c r="E120" i="7"/>
  <c r="G96" i="7"/>
  <c r="F149" i="8" l="1"/>
  <c r="F5" i="8" s="1"/>
  <c r="F167" i="8"/>
  <c r="G27" i="7"/>
  <c r="G80" i="7"/>
  <c r="G79" i="7"/>
  <c r="G72" i="7"/>
  <c r="G73" i="7"/>
  <c r="E70" i="7"/>
  <c r="E69" i="7"/>
  <c r="E68" i="7"/>
  <c r="E65" i="7"/>
  <c r="E66" i="7"/>
  <c r="E64" i="7"/>
  <c r="G56" i="7" l="1"/>
  <c r="E55" i="7"/>
  <c r="G50" i="7"/>
  <c r="E54" i="7" l="1"/>
  <c r="G54" i="7" s="1"/>
  <c r="E53" i="7"/>
  <c r="G53" i="7" s="1"/>
  <c r="E52" i="7"/>
  <c r="G52" i="7" s="1"/>
  <c r="E51" i="7"/>
  <c r="E34" i="7"/>
  <c r="G34" i="7" s="1"/>
  <c r="E37" i="7"/>
  <c r="E44" i="7" s="1"/>
  <c r="G44" i="7" s="1"/>
  <c r="E43" i="7"/>
  <c r="G43" i="7" s="1"/>
  <c r="E42" i="7"/>
  <c r="G42" i="7" s="1"/>
  <c r="E36" i="7"/>
  <c r="G36" i="7" s="1"/>
  <c r="F15" i="8"/>
  <c r="F13" i="8"/>
  <c r="F12" i="8"/>
  <c r="G157" i="7"/>
  <c r="G156" i="7"/>
  <c r="G146" i="7"/>
  <c r="G145" i="7"/>
  <c r="G140" i="7"/>
  <c r="G139" i="7"/>
  <c r="E124" i="7"/>
  <c r="G124" i="7" s="1"/>
  <c r="G123" i="7"/>
  <c r="G122" i="7"/>
  <c r="G121" i="7"/>
  <c r="G120" i="7"/>
  <c r="E116" i="7"/>
  <c r="E118" i="7" s="1"/>
  <c r="G118" i="7" s="1"/>
  <c r="G115" i="7"/>
  <c r="G111" i="7"/>
  <c r="G110" i="7"/>
  <c r="G109" i="7"/>
  <c r="G108" i="7"/>
  <c r="E107" i="7"/>
  <c r="G107" i="7" s="1"/>
  <c r="E106" i="7"/>
  <c r="G106" i="7" s="1"/>
  <c r="E103" i="7"/>
  <c r="G103" i="7" s="1"/>
  <c r="G102" i="7"/>
  <c r="G101" i="7"/>
  <c r="E100" i="7"/>
  <c r="G100" i="7" s="1"/>
  <c r="G99" i="7"/>
  <c r="G95" i="7"/>
  <c r="E93" i="7"/>
  <c r="G93" i="7" s="1"/>
  <c r="E92" i="7"/>
  <c r="G92" i="7" s="1"/>
  <c r="E91" i="7"/>
  <c r="G91" i="7" s="1"/>
  <c r="E90" i="7"/>
  <c r="G90" i="7" s="1"/>
  <c r="E89" i="7"/>
  <c r="G89" i="7" s="1"/>
  <c r="E88" i="7"/>
  <c r="G88" i="7" s="1"/>
  <c r="E87" i="7"/>
  <c r="G86" i="7"/>
  <c r="G85" i="7"/>
  <c r="G78" i="7"/>
  <c r="G71" i="7"/>
  <c r="G70" i="7"/>
  <c r="G69" i="7"/>
  <c r="G68" i="7"/>
  <c r="G66" i="7"/>
  <c r="G65" i="7"/>
  <c r="G64" i="7"/>
  <c r="G62" i="7"/>
  <c r="G61" i="7"/>
  <c r="G60" i="7"/>
  <c r="G59" i="7"/>
  <c r="G58" i="7"/>
  <c r="G57" i="7"/>
  <c r="G55" i="7"/>
  <c r="G51" i="7"/>
  <c r="G41" i="7"/>
  <c r="G40" i="7"/>
  <c r="G39" i="7"/>
  <c r="G38" i="7"/>
  <c r="G35" i="7"/>
  <c r="G30" i="7"/>
  <c r="G29" i="7"/>
  <c r="G26" i="7"/>
  <c r="G25" i="7"/>
  <c r="G23" i="7"/>
  <c r="G22" i="7"/>
  <c r="G21" i="7"/>
  <c r="G148" i="6"/>
  <c r="G147" i="6"/>
  <c r="G146" i="6"/>
  <c r="G145" i="6"/>
  <c r="G141" i="6"/>
  <c r="G140" i="6"/>
  <c r="G139" i="6"/>
  <c r="G138" i="6"/>
  <c r="G137" i="6"/>
  <c r="G136" i="6"/>
  <c r="G135" i="6"/>
  <c r="G134" i="6"/>
  <c r="G133" i="6"/>
  <c r="G132" i="6"/>
  <c r="E129" i="6"/>
  <c r="E130" i="6" s="1"/>
  <c r="G130" i="6" s="1"/>
  <c r="G128" i="6"/>
  <c r="E128" i="6"/>
  <c r="G126" i="6"/>
  <c r="G125" i="6"/>
  <c r="G124" i="6"/>
  <c r="G123" i="6"/>
  <c r="G121" i="6"/>
  <c r="E120" i="6"/>
  <c r="G120" i="6" s="1"/>
  <c r="G119" i="6"/>
  <c r="G118" i="6"/>
  <c r="G117" i="6"/>
  <c r="G116" i="6"/>
  <c r="G114" i="6"/>
  <c r="G113" i="6"/>
  <c r="G112" i="6"/>
  <c r="E104" i="6"/>
  <c r="G104" i="6" s="1"/>
  <c r="E103" i="6"/>
  <c r="G103" i="6" s="1"/>
  <c r="E101" i="6"/>
  <c r="G101" i="6" s="1"/>
  <c r="G100" i="6"/>
  <c r="G99" i="6"/>
  <c r="E98" i="6"/>
  <c r="G98" i="6" s="1"/>
  <c r="G97" i="6"/>
  <c r="G96" i="6"/>
  <c r="E96" i="6"/>
  <c r="G94" i="6"/>
  <c r="E93" i="6"/>
  <c r="G93" i="6" s="1"/>
  <c r="E92" i="6"/>
  <c r="G91" i="6"/>
  <c r="G90" i="6"/>
  <c r="G89" i="6"/>
  <c r="G88" i="6"/>
  <c r="G87" i="6"/>
  <c r="G81" i="6"/>
  <c r="E81" i="6"/>
  <c r="G80" i="6"/>
  <c r="G78" i="6"/>
  <c r="G77" i="6"/>
  <c r="G76" i="6"/>
  <c r="G71" i="6"/>
  <c r="G70" i="6"/>
  <c r="G69" i="6"/>
  <c r="G68" i="6"/>
  <c r="G67" i="6"/>
  <c r="G66" i="6"/>
  <c r="G65" i="6"/>
  <c r="G64" i="6"/>
  <c r="G63" i="6"/>
  <c r="G62" i="6"/>
  <c r="E60" i="6"/>
  <c r="G60" i="6" s="1"/>
  <c r="E59" i="6"/>
  <c r="G59" i="6" s="1"/>
  <c r="E58" i="6"/>
  <c r="G58" i="6" s="1"/>
  <c r="E57" i="6"/>
  <c r="G57" i="6" s="1"/>
  <c r="G56" i="6"/>
  <c r="G55" i="6"/>
  <c r="E55" i="6"/>
  <c r="E54" i="6"/>
  <c r="G54" i="6" s="1"/>
  <c r="G53" i="6"/>
  <c r="E53" i="6"/>
  <c r="E102" i="6" s="1"/>
  <c r="G102" i="6" s="1"/>
  <c r="E52" i="6"/>
  <c r="G52" i="6" s="1"/>
  <c r="E50" i="6"/>
  <c r="G50" i="6" s="1"/>
  <c r="G49" i="6"/>
  <c r="G48" i="6"/>
  <c r="G47" i="6"/>
  <c r="G46" i="6"/>
  <c r="G45" i="6"/>
  <c r="G44" i="6"/>
  <c r="G43" i="6"/>
  <c r="E43" i="6"/>
  <c r="E61" i="6" s="1"/>
  <c r="G61" i="6" s="1"/>
  <c r="G42" i="6"/>
  <c r="G37" i="6"/>
  <c r="G36" i="6"/>
  <c r="G35" i="6"/>
  <c r="G33" i="6"/>
  <c r="G32" i="6"/>
  <c r="G31" i="6"/>
  <c r="G30" i="6"/>
  <c r="G29" i="6"/>
  <c r="E29" i="6"/>
  <c r="E27" i="6"/>
  <c r="G27" i="6" s="1"/>
  <c r="E26" i="6"/>
  <c r="G26" i="6" s="1"/>
  <c r="E25" i="6"/>
  <c r="G25" i="6" s="1"/>
  <c r="G24" i="6"/>
  <c r="G23" i="6"/>
  <c r="G22" i="6"/>
  <c r="G148" i="5"/>
  <c r="G147" i="5"/>
  <c r="G146" i="5"/>
  <c r="G145" i="5"/>
  <c r="G149" i="5" s="1"/>
  <c r="G150" i="5" s="1"/>
  <c r="G9" i="5" s="1"/>
  <c r="I9" i="5" s="1"/>
  <c r="G141" i="5"/>
  <c r="G140" i="5"/>
  <c r="G139" i="5"/>
  <c r="G138" i="5"/>
  <c r="G137" i="5"/>
  <c r="G136" i="5"/>
  <c r="G135" i="5"/>
  <c r="G134" i="5"/>
  <c r="G133" i="5"/>
  <c r="G132" i="5"/>
  <c r="E128" i="5"/>
  <c r="E129" i="5" s="1"/>
  <c r="G126" i="5"/>
  <c r="G125" i="5"/>
  <c r="G124" i="5"/>
  <c r="G123" i="5"/>
  <c r="G121" i="5"/>
  <c r="E120" i="5"/>
  <c r="G120" i="5" s="1"/>
  <c r="G119" i="5"/>
  <c r="G118" i="5"/>
  <c r="G117" i="5"/>
  <c r="G116" i="5"/>
  <c r="G114" i="5"/>
  <c r="G113" i="5"/>
  <c r="G112" i="5"/>
  <c r="E104" i="5"/>
  <c r="G104" i="5" s="1"/>
  <c r="E101" i="5"/>
  <c r="G101" i="5" s="1"/>
  <c r="G100" i="5"/>
  <c r="G99" i="5"/>
  <c r="E98" i="5"/>
  <c r="G98" i="5" s="1"/>
  <c r="G97" i="5"/>
  <c r="E96" i="5"/>
  <c r="G96" i="5" s="1"/>
  <c r="G94" i="5"/>
  <c r="G93" i="5"/>
  <c r="E93" i="5"/>
  <c r="E92" i="5"/>
  <c r="I92" i="5" s="1"/>
  <c r="G91" i="5"/>
  <c r="G90" i="5"/>
  <c r="G89" i="5"/>
  <c r="G88" i="5"/>
  <c r="G87" i="5"/>
  <c r="G81" i="5"/>
  <c r="E81" i="5"/>
  <c r="G80" i="5"/>
  <c r="E78" i="5"/>
  <c r="G78" i="5" s="1"/>
  <c r="G77" i="5"/>
  <c r="G76" i="5"/>
  <c r="G71" i="5"/>
  <c r="G70" i="5"/>
  <c r="G69" i="5"/>
  <c r="G68" i="5"/>
  <c r="G67" i="5"/>
  <c r="G66" i="5"/>
  <c r="G65" i="5"/>
  <c r="G64" i="5"/>
  <c r="G63" i="5"/>
  <c r="G62" i="5"/>
  <c r="G61" i="5"/>
  <c r="E61" i="5"/>
  <c r="E60" i="5"/>
  <c r="G60" i="5" s="1"/>
  <c r="E59" i="5"/>
  <c r="G59" i="5" s="1"/>
  <c r="E58" i="5"/>
  <c r="G58" i="5" s="1"/>
  <c r="E57" i="5"/>
  <c r="G57" i="5" s="1"/>
  <c r="G56" i="5"/>
  <c r="E55" i="5"/>
  <c r="G55" i="5" s="1"/>
  <c r="E54" i="5"/>
  <c r="G54" i="5" s="1"/>
  <c r="E53" i="5"/>
  <c r="E102" i="5" s="1"/>
  <c r="G102" i="5" s="1"/>
  <c r="G52" i="5"/>
  <c r="E52" i="5"/>
  <c r="E50" i="5"/>
  <c r="G50" i="5" s="1"/>
  <c r="G49" i="5"/>
  <c r="G48" i="5"/>
  <c r="G47" i="5"/>
  <c r="G46" i="5"/>
  <c r="G45" i="5"/>
  <c r="G44" i="5"/>
  <c r="G43" i="5"/>
  <c r="E42" i="5"/>
  <c r="G42" i="5" s="1"/>
  <c r="G37" i="5"/>
  <c r="G36" i="5"/>
  <c r="G35" i="5"/>
  <c r="G33" i="5"/>
  <c r="G32" i="5"/>
  <c r="G31" i="5"/>
  <c r="G30" i="5"/>
  <c r="E29" i="5"/>
  <c r="G29" i="5" s="1"/>
  <c r="G27" i="5"/>
  <c r="E27" i="5"/>
  <c r="E26" i="5"/>
  <c r="G26" i="5" s="1"/>
  <c r="G25" i="5"/>
  <c r="G24" i="5"/>
  <c r="G23" i="5"/>
  <c r="G22" i="5"/>
  <c r="G145" i="4"/>
  <c r="G144" i="4"/>
  <c r="G143" i="4"/>
  <c r="G142" i="4"/>
  <c r="G146" i="4" s="1"/>
  <c r="G147" i="4" s="1"/>
  <c r="G9" i="4" s="1"/>
  <c r="I9" i="4" s="1"/>
  <c r="G138" i="4"/>
  <c r="G137" i="4"/>
  <c r="G136" i="4"/>
  <c r="G135" i="4"/>
  <c r="G134" i="4"/>
  <c r="G133" i="4"/>
  <c r="G132" i="4"/>
  <c r="G131" i="4"/>
  <c r="G130" i="4"/>
  <c r="G129" i="4"/>
  <c r="E125" i="4"/>
  <c r="E126" i="4" s="1"/>
  <c r="G123" i="4"/>
  <c r="G122" i="4"/>
  <c r="G121" i="4"/>
  <c r="G120" i="4"/>
  <c r="G118" i="4"/>
  <c r="E117" i="4"/>
  <c r="G117" i="4" s="1"/>
  <c r="G116" i="4"/>
  <c r="G115" i="4"/>
  <c r="G114" i="4"/>
  <c r="G113" i="4"/>
  <c r="G111" i="4"/>
  <c r="G110" i="4"/>
  <c r="G109" i="4"/>
  <c r="E99" i="4"/>
  <c r="G99" i="4" s="1"/>
  <c r="G98" i="4"/>
  <c r="G97" i="4"/>
  <c r="E96" i="4"/>
  <c r="G96" i="4" s="1"/>
  <c r="E95" i="4"/>
  <c r="G95" i="4" s="1"/>
  <c r="E94" i="4"/>
  <c r="G94" i="4" s="1"/>
  <c r="G92" i="4"/>
  <c r="E91" i="4"/>
  <c r="G91" i="4" s="1"/>
  <c r="G89" i="4"/>
  <c r="G88" i="4"/>
  <c r="G87" i="4"/>
  <c r="G86" i="4"/>
  <c r="G85" i="4"/>
  <c r="G79" i="4"/>
  <c r="G77" i="4"/>
  <c r="G76" i="4"/>
  <c r="G71" i="4"/>
  <c r="G70" i="4"/>
  <c r="G69" i="4"/>
  <c r="G68" i="4"/>
  <c r="G67" i="4"/>
  <c r="G66" i="4"/>
  <c r="E65" i="4"/>
  <c r="G65" i="4" s="1"/>
  <c r="E62" i="4"/>
  <c r="G62" i="4" s="1"/>
  <c r="E61" i="4"/>
  <c r="G61" i="4" s="1"/>
  <c r="G56" i="4"/>
  <c r="E55" i="4"/>
  <c r="G55" i="4" s="1"/>
  <c r="G52" i="4"/>
  <c r="E50" i="4"/>
  <c r="G50" i="4" s="1"/>
  <c r="G49" i="4"/>
  <c r="E48" i="4"/>
  <c r="G48" i="4" s="1"/>
  <c r="E47" i="4"/>
  <c r="E59" i="4" s="1"/>
  <c r="G59" i="4" s="1"/>
  <c r="G46" i="4"/>
  <c r="E46" i="4"/>
  <c r="E45" i="4"/>
  <c r="G45" i="4" s="1"/>
  <c r="G44" i="4"/>
  <c r="E44" i="4"/>
  <c r="E63" i="4" s="1"/>
  <c r="G63" i="4" s="1"/>
  <c r="E43" i="4"/>
  <c r="E54" i="4" s="1"/>
  <c r="G54" i="4" s="1"/>
  <c r="G42" i="4"/>
  <c r="G37" i="4"/>
  <c r="G36" i="4"/>
  <c r="G35" i="4"/>
  <c r="G33" i="4"/>
  <c r="G32" i="4"/>
  <c r="G31" i="4"/>
  <c r="E31" i="4"/>
  <c r="G30" i="4"/>
  <c r="G29" i="4"/>
  <c r="E29" i="4"/>
  <c r="E27" i="4"/>
  <c r="G27" i="4" s="1"/>
  <c r="E26" i="4"/>
  <c r="G26" i="4" s="1"/>
  <c r="E25" i="4"/>
  <c r="G25" i="4" s="1"/>
  <c r="G24" i="4"/>
  <c r="G23" i="4"/>
  <c r="G22" i="4"/>
  <c r="G144" i="3"/>
  <c r="G145" i="3" s="1"/>
  <c r="G143" i="3"/>
  <c r="G142" i="3"/>
  <c r="G138" i="3"/>
  <c r="G137" i="3"/>
  <c r="G136" i="3"/>
  <c r="G135" i="3"/>
  <c r="G134" i="3"/>
  <c r="G133" i="3"/>
  <c r="G132" i="3"/>
  <c r="G131" i="3"/>
  <c r="G130" i="3"/>
  <c r="G129" i="3"/>
  <c r="E125" i="3"/>
  <c r="G125" i="3" s="1"/>
  <c r="G123" i="3"/>
  <c r="G122" i="3"/>
  <c r="G121" i="3"/>
  <c r="G120" i="3"/>
  <c r="G118" i="3"/>
  <c r="E117" i="3"/>
  <c r="G117" i="3" s="1"/>
  <c r="G116" i="3"/>
  <c r="G115" i="3"/>
  <c r="G114" i="3"/>
  <c r="G113" i="3"/>
  <c r="G111" i="3"/>
  <c r="G110" i="3"/>
  <c r="G109" i="3"/>
  <c r="E99" i="3"/>
  <c r="G99" i="3" s="1"/>
  <c r="G98" i="3"/>
  <c r="G97" i="3"/>
  <c r="E96" i="3"/>
  <c r="G96" i="3" s="1"/>
  <c r="E95" i="3"/>
  <c r="G95" i="3" s="1"/>
  <c r="E94" i="3"/>
  <c r="G94" i="3" s="1"/>
  <c r="G92" i="3"/>
  <c r="E91" i="3"/>
  <c r="G91" i="3" s="1"/>
  <c r="E90" i="3"/>
  <c r="G90" i="3" s="1"/>
  <c r="G89" i="3"/>
  <c r="G88" i="3"/>
  <c r="G87" i="3"/>
  <c r="G86" i="3"/>
  <c r="G85" i="3"/>
  <c r="G79" i="3"/>
  <c r="G77" i="3"/>
  <c r="G76" i="3"/>
  <c r="G71" i="3"/>
  <c r="G70" i="3"/>
  <c r="G69" i="3"/>
  <c r="G68" i="3"/>
  <c r="G67" i="3"/>
  <c r="G66" i="3"/>
  <c r="G65" i="3"/>
  <c r="E65" i="3"/>
  <c r="E62" i="3"/>
  <c r="G62" i="3" s="1"/>
  <c r="E60" i="3"/>
  <c r="G60" i="3" s="1"/>
  <c r="G56" i="3"/>
  <c r="E54" i="3"/>
  <c r="G54" i="3" s="1"/>
  <c r="E53" i="3"/>
  <c r="G52" i="3"/>
  <c r="E50" i="3"/>
  <c r="G50" i="3" s="1"/>
  <c r="G49" i="3"/>
  <c r="E48" i="3"/>
  <c r="G48" i="3" s="1"/>
  <c r="G47" i="3"/>
  <c r="E47" i="3"/>
  <c r="E46" i="3"/>
  <c r="E59" i="3" s="1"/>
  <c r="G59" i="3" s="1"/>
  <c r="E45" i="3"/>
  <c r="E64" i="3" s="1"/>
  <c r="G64" i="3" s="1"/>
  <c r="E44" i="3"/>
  <c r="G44" i="3" s="1"/>
  <c r="E43" i="3"/>
  <c r="E58" i="3" s="1"/>
  <c r="G58" i="3" s="1"/>
  <c r="G42" i="3"/>
  <c r="G37" i="3"/>
  <c r="G36" i="3"/>
  <c r="G35" i="3"/>
  <c r="G33" i="3"/>
  <c r="G32" i="3"/>
  <c r="E31" i="3"/>
  <c r="G31" i="3" s="1"/>
  <c r="G30" i="3"/>
  <c r="G29" i="3"/>
  <c r="E29" i="3"/>
  <c r="E27" i="3"/>
  <c r="G27" i="3" s="1"/>
  <c r="E26" i="3"/>
  <c r="G26" i="3" s="1"/>
  <c r="E25" i="3"/>
  <c r="G25" i="3" s="1"/>
  <c r="G24" i="3"/>
  <c r="G23" i="3"/>
  <c r="G22" i="3"/>
  <c r="G15" i="2"/>
  <c r="G13" i="2"/>
  <c r="G11" i="2"/>
  <c r="E10" i="2"/>
  <c r="G10" i="2" s="1"/>
  <c r="G9" i="2"/>
  <c r="G8" i="2"/>
  <c r="G7" i="2"/>
  <c r="G6" i="2"/>
  <c r="G5" i="2"/>
  <c r="G38" i="6" l="1"/>
  <c r="G160" i="7"/>
  <c r="G38" i="4"/>
  <c r="G146" i="3"/>
  <c r="G9" i="3" s="1"/>
  <c r="I9" i="3" s="1"/>
  <c r="G38" i="3"/>
  <c r="G16" i="2"/>
  <c r="D50" i="1" s="1"/>
  <c r="E106" i="6"/>
  <c r="E107" i="6"/>
  <c r="G107" i="6" s="1"/>
  <c r="G80" i="3"/>
  <c r="G81" i="3" s="1"/>
  <c r="G6" i="3" s="1"/>
  <c r="I6" i="3" s="1"/>
  <c r="F27" i="8"/>
  <c r="F4" i="8" s="1"/>
  <c r="F6" i="8" s="1"/>
  <c r="D64" i="1" s="1"/>
  <c r="G80" i="4"/>
  <c r="G81" i="4" s="1"/>
  <c r="G6" i="4" s="1"/>
  <c r="I6" i="4" s="1"/>
  <c r="E45" i="7"/>
  <c r="G45" i="7" s="1"/>
  <c r="E117" i="7"/>
  <c r="G117" i="7" s="1"/>
  <c r="G112" i="7"/>
  <c r="E119" i="7"/>
  <c r="G119" i="7" s="1"/>
  <c r="E94" i="7"/>
  <c r="G94" i="7" s="1"/>
  <c r="G104" i="7"/>
  <c r="G81" i="7"/>
  <c r="G82" i="7" s="1"/>
  <c r="G6" i="7" s="1"/>
  <c r="E74" i="7"/>
  <c r="G74" i="7" s="1"/>
  <c r="G75" i="7" s="1"/>
  <c r="G37" i="7"/>
  <c r="G39" i="6"/>
  <c r="G4" i="6" s="1"/>
  <c r="I4" i="6" s="1"/>
  <c r="E100" i="3"/>
  <c r="G100" i="3" s="1"/>
  <c r="G126" i="4"/>
  <c r="E127" i="4"/>
  <c r="G127" i="4" s="1"/>
  <c r="E130" i="5"/>
  <c r="G130" i="5" s="1"/>
  <c r="G129" i="5"/>
  <c r="G82" i="5"/>
  <c r="G83" i="5" s="1"/>
  <c r="G6" i="5" s="1"/>
  <c r="I6" i="5" s="1"/>
  <c r="I106" i="6"/>
  <c r="G106" i="6"/>
  <c r="G39" i="4"/>
  <c r="G4" i="4" s="1"/>
  <c r="I4" i="4" s="1"/>
  <c r="G45" i="3"/>
  <c r="G92" i="6"/>
  <c r="G128" i="5"/>
  <c r="I92" i="6"/>
  <c r="E55" i="3"/>
  <c r="G55" i="3" s="1"/>
  <c r="E57" i="4"/>
  <c r="G57" i="4" s="1"/>
  <c r="E90" i="4"/>
  <c r="G53" i="5"/>
  <c r="G46" i="3"/>
  <c r="G149" i="6"/>
  <c r="G150" i="6" s="1"/>
  <c r="G9" i="6" s="1"/>
  <c r="I9" i="6" s="1"/>
  <c r="G39" i="3"/>
  <c r="G4" i="3" s="1"/>
  <c r="I4" i="3" s="1"/>
  <c r="G43" i="4"/>
  <c r="E58" i="4"/>
  <c r="G58" i="4" s="1"/>
  <c r="E64" i="4"/>
  <c r="G64" i="4" s="1"/>
  <c r="G82" i="6"/>
  <c r="G83" i="6" s="1"/>
  <c r="G6" i="6" s="1"/>
  <c r="I6" i="6" s="1"/>
  <c r="G87" i="7"/>
  <c r="G159" i="7"/>
  <c r="G47" i="4"/>
  <c r="E61" i="3"/>
  <c r="G61" i="3" s="1"/>
  <c r="E57" i="3"/>
  <c r="G57" i="3" s="1"/>
  <c r="E63" i="3"/>
  <c r="G63" i="3" s="1"/>
  <c r="I89" i="3"/>
  <c r="G116" i="7"/>
  <c r="E101" i="3"/>
  <c r="E103" i="3" s="1"/>
  <c r="E103" i="5"/>
  <c r="E106" i="5" s="1"/>
  <c r="E126" i="3"/>
  <c r="G53" i="3"/>
  <c r="E53" i="4"/>
  <c r="G92" i="5"/>
  <c r="G43" i="3"/>
  <c r="E60" i="4"/>
  <c r="G60" i="4" s="1"/>
  <c r="G125" i="4"/>
  <c r="G139" i="4" s="1"/>
  <c r="G140" i="4" s="1"/>
  <c r="G8" i="4" s="1"/>
  <c r="I8" i="4" s="1"/>
  <c r="G38" i="5"/>
  <c r="G39" i="5" s="1"/>
  <c r="G4" i="5" s="1"/>
  <c r="G72" i="6"/>
  <c r="G73" i="6" s="1"/>
  <c r="G5" i="6" s="1"/>
  <c r="G129" i="6"/>
  <c r="G142" i="6" s="1"/>
  <c r="G143" i="6" s="1"/>
  <c r="G8" i="6" s="1"/>
  <c r="I8" i="6" s="1"/>
  <c r="G31" i="7"/>
  <c r="G32" i="7" s="1"/>
  <c r="G3" i="7" s="1"/>
  <c r="G108" i="6" l="1"/>
  <c r="G109" i="6" s="1"/>
  <c r="G7" i="6" s="1"/>
  <c r="I7" i="6" s="1"/>
  <c r="G47" i="7"/>
  <c r="G126" i="7"/>
  <c r="G9" i="7"/>
  <c r="G97" i="7"/>
  <c r="G113" i="7" s="1"/>
  <c r="G142" i="5"/>
  <c r="G143" i="5" s="1"/>
  <c r="G8" i="5" s="1"/>
  <c r="I8" i="5" s="1"/>
  <c r="G76" i="7"/>
  <c r="G5" i="7" s="1"/>
  <c r="I5" i="6"/>
  <c r="I4" i="5"/>
  <c r="G46" i="7"/>
  <c r="G7" i="7"/>
  <c r="G106" i="5"/>
  <c r="I103" i="3"/>
  <c r="G103" i="3"/>
  <c r="G72" i="5"/>
  <c r="G73" i="5" s="1"/>
  <c r="G5" i="5" s="1"/>
  <c r="E103" i="4"/>
  <c r="G90" i="4"/>
  <c r="I90" i="4"/>
  <c r="G125" i="7"/>
  <c r="E101" i="4"/>
  <c r="G53" i="4"/>
  <c r="E100" i="4"/>
  <c r="G100" i="4" s="1"/>
  <c r="G101" i="3"/>
  <c r="G105" i="3" s="1"/>
  <c r="E104" i="3"/>
  <c r="G104" i="3" s="1"/>
  <c r="G72" i="3"/>
  <c r="G73" i="3" s="1"/>
  <c r="G5" i="3" s="1"/>
  <c r="E127" i="3"/>
  <c r="G127" i="3" s="1"/>
  <c r="G126" i="3"/>
  <c r="E107" i="5"/>
  <c r="G107" i="5" s="1"/>
  <c r="G103" i="5"/>
  <c r="G4" i="7" l="1"/>
  <c r="G8" i="7"/>
  <c r="G106" i="3"/>
  <c r="G7" i="3" s="1"/>
  <c r="I7" i="3" s="1"/>
  <c r="G10" i="6"/>
  <c r="J5" i="6" s="1"/>
  <c r="G108" i="5"/>
  <c r="G109" i="5" s="1"/>
  <c r="G7" i="5" s="1"/>
  <c r="I5" i="5"/>
  <c r="I5" i="3"/>
  <c r="G10" i="7"/>
  <c r="D62" i="1" s="1"/>
  <c r="G139" i="3"/>
  <c r="G140" i="3" s="1"/>
  <c r="G8" i="3" s="1"/>
  <c r="G101" i="4"/>
  <c r="E104" i="4"/>
  <c r="G104" i="4" s="1"/>
  <c r="G72" i="4"/>
  <c r="G73" i="4" s="1"/>
  <c r="G5" i="4" s="1"/>
  <c r="G103" i="4"/>
  <c r="I106" i="5"/>
  <c r="G10" i="3" l="1"/>
  <c r="I8" i="3"/>
  <c r="J6" i="6"/>
  <c r="J8" i="6"/>
  <c r="D60" i="1"/>
  <c r="J9" i="6"/>
  <c r="J4" i="6"/>
  <c r="J7" i="6"/>
  <c r="I10" i="6"/>
  <c r="I7" i="5"/>
  <c r="G10" i="5"/>
  <c r="J4" i="5" s="1"/>
  <c r="J9" i="5"/>
  <c r="J8" i="5"/>
  <c r="I5" i="4"/>
  <c r="J6" i="3"/>
  <c r="J4" i="3"/>
  <c r="J7" i="3"/>
  <c r="I10" i="3"/>
  <c r="J9" i="3"/>
  <c r="J8" i="3"/>
  <c r="J5" i="3"/>
  <c r="D52" i="1"/>
  <c r="G105" i="4"/>
  <c r="G106" i="4" s="1"/>
  <c r="G7" i="4" s="1"/>
  <c r="I103" i="4"/>
  <c r="J10" i="6" l="1"/>
  <c r="J5" i="5"/>
  <c r="J6" i="5"/>
  <c r="D58" i="1"/>
  <c r="I10" i="5"/>
  <c r="J7" i="5"/>
  <c r="G10" i="4"/>
  <c r="J5" i="4" s="1"/>
  <c r="I7" i="4"/>
  <c r="J4" i="4"/>
  <c r="J7" i="4"/>
  <c r="J6" i="4"/>
  <c r="J9" i="4"/>
  <c r="J10" i="3"/>
  <c r="D55" i="1" l="1"/>
  <c r="D66" i="1" s="1"/>
  <c r="D68" i="1" s="1"/>
  <c r="D71" i="1" s="1"/>
  <c r="J8" i="4"/>
  <c r="I10" i="4"/>
  <c r="J10" i="5"/>
  <c r="J10" i="4"/>
  <c r="D78" i="1" l="1"/>
</calcChain>
</file>

<file path=xl/sharedStrings.xml><?xml version="1.0" encoding="utf-8"?>
<sst xmlns="http://schemas.openxmlformats.org/spreadsheetml/2006/main" count="2202" uniqueCount="656">
  <si>
    <t>2/1 - NAČRT GRADBENIŠTVA - NAČRT KANALIZACIJE</t>
  </si>
  <si>
    <t>POPIS DEL S PREDIZMERAMI</t>
  </si>
  <si>
    <t>Investitor:</t>
  </si>
  <si>
    <t>Občina Brezovica</t>
  </si>
  <si>
    <t xml:space="preserve">Tržaška cesta 390, </t>
  </si>
  <si>
    <t>1351 Brezovica</t>
  </si>
  <si>
    <t>Naziv gradnje:</t>
  </si>
  <si>
    <t>Rekonstrukcija vodovoda in izgradnja kanalizacije na Brezovici severno od AC-območje od Drobtinške poti do Podpeške ceste, 1. faza-JUŽNI DEL</t>
  </si>
  <si>
    <t>Vrsta projekta:</t>
  </si>
  <si>
    <t>PZI</t>
  </si>
  <si>
    <t>Št. projekta:</t>
  </si>
  <si>
    <t>1405-3/09</t>
  </si>
  <si>
    <t>Št. načrta:</t>
  </si>
  <si>
    <t>Datum:</t>
  </si>
  <si>
    <t>REKAPITULACIJA</t>
  </si>
  <si>
    <t>0.</t>
  </si>
  <si>
    <t>Preddela in gradbiščna dokumentacija</t>
  </si>
  <si>
    <t>1.</t>
  </si>
  <si>
    <r>
      <rPr>
        <b/>
        <sz val="10"/>
        <rFont val="Arial"/>
        <family val="2"/>
        <charset val="238"/>
      </rPr>
      <t xml:space="preserve">Odsek 1: </t>
    </r>
    <r>
      <rPr>
        <sz val="10"/>
        <rFont val="Arial"/>
        <family val="2"/>
        <charset val="238"/>
      </rPr>
      <t xml:space="preserve">kanali O (od RJ19 do RJ34), O-a, O4 (od pr. do RJ1), </t>
    </r>
  </si>
  <si>
    <t>O5 (od pr. do +12,00m) in O6 (od pr. do RJ1)</t>
  </si>
  <si>
    <t>2.</t>
  </si>
  <si>
    <r>
      <rPr>
        <b/>
        <sz val="10"/>
        <rFont val="Arial"/>
        <family val="2"/>
        <charset val="238"/>
      </rPr>
      <t xml:space="preserve">Odsek 2: </t>
    </r>
    <r>
      <rPr>
        <sz val="10"/>
        <rFont val="Arial"/>
        <family val="2"/>
        <charset val="238"/>
      </rPr>
      <t xml:space="preserve">kanali O3 (od pr. do RJ4), O3-1 (od pr. do RJ4), </t>
    </r>
  </si>
  <si>
    <t>O2 (od pr. do RJ1), O7 (od pr. do RJ5) in O7-1 (od pr. do RJ7)</t>
  </si>
  <si>
    <t>3.</t>
  </si>
  <si>
    <r>
      <rPr>
        <b/>
        <sz val="10"/>
        <rFont val="Arial"/>
        <family val="2"/>
        <charset val="238"/>
      </rPr>
      <t xml:space="preserve">Odsek 3: </t>
    </r>
    <r>
      <rPr>
        <sz val="10"/>
        <rFont val="Arial"/>
        <family val="2"/>
        <charset val="238"/>
      </rPr>
      <t>kanal O (od RJ7a-obst. do RJ19)</t>
    </r>
  </si>
  <si>
    <t>4.</t>
  </si>
  <si>
    <r>
      <rPr>
        <b/>
        <sz val="10"/>
        <rFont val="Arial"/>
        <family val="2"/>
        <charset val="238"/>
      </rPr>
      <t xml:space="preserve">Odsek 4: </t>
    </r>
    <r>
      <rPr>
        <sz val="10"/>
        <rFont val="Arial"/>
        <family val="2"/>
        <charset val="238"/>
      </rPr>
      <t>kanala Os in O1 (od RJ1 do RJ2)</t>
    </r>
  </si>
  <si>
    <t>5.</t>
  </si>
  <si>
    <t>Črpališče - gradbeni del in strojni del</t>
  </si>
  <si>
    <t>6.</t>
  </si>
  <si>
    <t>Črpališče - električne inštalacije in oprema</t>
  </si>
  <si>
    <t>SKUPAJ</t>
  </si>
  <si>
    <t>Davek na dodano vrednost  (22%)</t>
  </si>
  <si>
    <t>SKUPAJ  (vključno z DDV) :</t>
  </si>
  <si>
    <t>Skupna dolžina kanalizacije za kom. odpadno vodo:</t>
  </si>
  <si>
    <t>Investicija (brez DDV) na m1:</t>
  </si>
  <si>
    <t>Šifra</t>
  </si>
  <si>
    <t>Opis postavke</t>
  </si>
  <si>
    <t>Enota</t>
  </si>
  <si>
    <t>Količina</t>
  </si>
  <si>
    <t>Cena za enoto</t>
  </si>
  <si>
    <t>Vrednost [€]</t>
  </si>
  <si>
    <t>0.1</t>
  </si>
  <si>
    <t>IZDELAVA NAČRTOV</t>
  </si>
  <si>
    <t>0101</t>
  </si>
  <si>
    <t>Izdelava varnostnega načrta po predpisih o zagotavljanju varnosti in zdravja pri delu. V treh izvodih.</t>
  </si>
  <si>
    <t>kpl</t>
  </si>
  <si>
    <t>0102</t>
  </si>
  <si>
    <t>Izdelava Projekta izvedenih del (PID) za kanalizacijo v treh izvodih v skladu s Pravilnikom o projektni dokumentaciji (Uradni list RS, št. 55/08) in zahtevami bodočega upravljavca. PID se preda tudi v elektronski obliki v 2 izvodih (formati: risbe v dwg, teksti v doc, preglednice v xls) - KANALIZACIJA</t>
  </si>
  <si>
    <t>0103</t>
  </si>
  <si>
    <t>Izdelava Projekta izvedenih del (PID) za obnovo ceste v treh izvodih v skladu s Pravilnikom o projektni dokumentaciji (Uradni list RS, št. 55/08) in zahtevami bodočega upravljavca. PID se preda tudi v elektronski obliki v 2 izvodih (formati: risbe v dwg, teksti v doc, preglednice v xls) - CESTA</t>
  </si>
  <si>
    <t>0104</t>
  </si>
  <si>
    <t>Izdelava dokazila o zanesljivosti v treh izvodih v skladu s Pravilnikom o dokazilu o zanesljivosti objekta (Uradni list RS, št. 55/08).</t>
  </si>
  <si>
    <t>0105</t>
  </si>
  <si>
    <t>Izdelava poročila o ravnanju z gradbenimi odpadki v skladu z Uredbo o ravnanju z gradbenimi odpadki, ki nastanejo pri gradbenih delih. V treh izvodih.</t>
  </si>
  <si>
    <t>0106</t>
  </si>
  <si>
    <t>Izdelava geodetskega posnetka in vris v kataster. Zajema tudi izdelavo geodetskega načrta s certifikatom, skico meritev, terenski zapisnik ter kopijo situacij starega in novega stanja. Datoteka koordinat z atributi za odcepe za hišne priključke z jaškom, prijava spremembe komunalnega voda v ASCII datoteki za prenos podatkov v GIS bazo JP VO - KA. Izdelano v tiskani (v treh izvodih) in elektronski obliki. (Za cesto in kanalizacijo)</t>
  </si>
  <si>
    <t>m1</t>
  </si>
  <si>
    <t>0107</t>
  </si>
  <si>
    <t>Načrt organizacije gradbišča (skladno z Gradbenim zakonom in dopolnitvami, ter Pravilnikom o gradbiščih) in prijava gradbišča. KOMPLET
Upoštevati delilnik stroškov, ki ga pripravijo investitorji!</t>
  </si>
  <si>
    <t>0.2</t>
  </si>
  <si>
    <t>OBVESTILNE TABLE NA GRADBIŠČU</t>
  </si>
  <si>
    <t>0201</t>
  </si>
  <si>
    <t>Nabava, dobava in postavitev obvestilne table na gradbišču, skladno z zakonodajo. Odstranitev obvestilne table po izgradnji.</t>
  </si>
  <si>
    <t>kos</t>
  </si>
  <si>
    <t>0.3</t>
  </si>
  <si>
    <t>OSTALI STROŠKI</t>
  </si>
  <si>
    <t>0301</t>
  </si>
  <si>
    <t xml:space="preserve">Koordinacija za varnost in zdravje pri delu na gradbišču v skladu s predpisi, ki obravnavajo to področje (Uredba o zagotavljanju varnosti in zdravja pri delu na začasnih in premičnih gradbiščih), vključno z vodenjem knjige ukrepov.  </t>
  </si>
  <si>
    <t>Skupaj preddela in gradbiščna dokumentacija</t>
  </si>
  <si>
    <t xml:space="preserve">Odsek 1: kanali O (od RJ19 do RJ34), O-a, O4 (od pr. do RJ1), </t>
  </si>
  <si>
    <t>1.0</t>
  </si>
  <si>
    <t>PRIPRAVLJALNA DELA</t>
  </si>
  <si>
    <t>2.0</t>
  </si>
  <si>
    <t>POSEGI V OBSTOJEČE VOZIŠČE</t>
  </si>
  <si>
    <t>3.0</t>
  </si>
  <si>
    <t>DRUGI POSEGI NA TERENU</t>
  </si>
  <si>
    <t>4.0</t>
  </si>
  <si>
    <t>ZEMELJSKA DELA</t>
  </si>
  <si>
    <t>5.0</t>
  </si>
  <si>
    <t>KANALIZACIJSKA DELA</t>
  </si>
  <si>
    <t>6.0</t>
  </si>
  <si>
    <t>NAVEZAVE NA HIŠNE PRIKLJUČKE ZA KOM. ODP. VODO</t>
  </si>
  <si>
    <t>OPOMBE:</t>
  </si>
  <si>
    <t xml:space="preserve">1.) V načrtu kanalizacije so upoštevani izkopi in zasipi od končne nivelete ceste. Vsa varovanja, zaščite, prestavitve,... drugih obstoječih komunalnih vodov na območju posega se izvedejo po navodilih in pod nadzorom upravljalcev teh vodov. Obračun v zvezi s prestavitvami se izvede po dejanskih količinah z vpisom v gradbenih knjigah.
PRI VSEH IZKOPIH IN ZASIPIH JE POTREBNO FAKTOR RAZRAHLJIVOSTI (RAZSUTJA) UPOŠTEVATI V CENI NA ENOTO!                                                            </t>
  </si>
  <si>
    <t>2.) Pričakuje se, da je Izvajalec pred pošiljanjem svoje Ponudbe obiskal in natančno pregledal gradbišče
in okolico, da se je predhodno seznanil z vsemi geotehničnimi, hidrološkimi, meteorološkimi
raziskavami in drugimi podatki, da se je seznanil z obstoječimi cestami in ostalimi prometnimi potmi,
da je spoznal vse bistvene elemente, ki lahko vplivajo na organizacijo gradbišča, da je preizkusil in
kontroliral vse obstoječe vire za oskrbo z materialom ter vse ostale okoliščine, ki lahko vplivajo na
izvedbo del, da se je seznanil z vsemi predpisi in zakoni glede plačila taks, davkov in ostalih dajatev v
R Sloveniji, da je v celoti proučil dokumentacijo o oddaji del, da je prišel do vseh potrebnih podatkov,
ki vplivajo na izvedbo del ter da je na podlagi vsega tega tudi oddal svojo ponudbo.</t>
  </si>
  <si>
    <t>3.) V cenah v popisnih postavkah mora ponudnik zajeti stroške:
- vseh pomožnih del,
- ureditve gradbišča (kontejnerji, deponije, ograje),
- dobav, nakladanj, odstranitev, prevozov in deponiranja materiala (s plačilom takse)!</t>
  </si>
  <si>
    <t>4.) Ponudbena cena mora vsebovati tudi vse stroške izvedbe in vzdrževanja dostopnih in gradbiščnih
poti (vključno s stroški pridobitve vseh potrebnih soglasij in dovoljenj) ter stroške začasne uporabe
zemljišč za dostopne poti, vključno s stroški povrnitve zemljišč in obstoječih poti oziroma cest v
prvotno stanje po končani gradnji. V cenah v popisnih postavkah mora ponudnik zajeti vrednosti vseh
potrebnih del vključno s tekočimi in končnimi poročili posameznih strokovnjakov tekoče kontrole –
prevzemanje plasti pri zemeljskih delih in zgornjem ustroju, asfaltih, izolacijah, betonih, geoloških
pregledih, vodotesnost kanalizacije in jaškov, itd. vse v smislu dokazovanja kvalitete izvedenih del.
Kanalizacije in jaški morajo biti vodotesni skladno z veljavno zakonodajo.</t>
  </si>
  <si>
    <t>5.) Dela je potrebno izvajati v skladu z veljavnimi tehničnimi predpisi, normativi in standardi ob
upoštevanju zahtev iz varstva pri delu.</t>
  </si>
  <si>
    <t>1.1</t>
  </si>
  <si>
    <t>ZAKOLIČBA</t>
  </si>
  <si>
    <t>1101</t>
  </si>
  <si>
    <t>Zakoličenje osi kanalizacije, z zavarovanjem osi in oznako revizijskih jaškov in vsa druga geodetska dela v času gradnje, ki so potrebna za nemoteno izvajanje del (smeri, višine, vmesne, začasne in končne zakoličbe…)</t>
  </si>
  <si>
    <t>1102</t>
  </si>
  <si>
    <t>Postavitev gradbenih profilov na vzpostavljeno os trase cevovoda, ter določitev nivoja za merjenje globine izkopa in polaganje cevovoda.</t>
  </si>
  <si>
    <t>kom</t>
  </si>
  <si>
    <t>1103</t>
  </si>
  <si>
    <t>Obnova in zavarovanje zakoličbe osi trase javne ceste v ravninskem terenu</t>
  </si>
  <si>
    <t>1104</t>
  </si>
  <si>
    <t>Postavitev in zavarovanje prečnega profila javne ceste v ravninskem terenu</t>
  </si>
  <si>
    <t>1105</t>
  </si>
  <si>
    <t>Določanje in označevanje obstoječih podzemnih naprav, ki se križajo ali potekajo vzporedno s predvideno infrastrukturo,  z vidnimi znaki na terenu, s pisanjem zapisnika o primopredaji, eventuelne skice. Obračun po m1 predvidene kanalizacije.</t>
  </si>
  <si>
    <t>1106</t>
  </si>
  <si>
    <t>Določanje in označevanje mej parcel po katerih poteka kanalizacijski vod. Obračun po m1 predvidene kanalizacije (brez upoševanja odcepov za hišne priključke).</t>
  </si>
  <si>
    <t>1.2</t>
  </si>
  <si>
    <t>PRIPRAVA GRADBIŠČA</t>
  </si>
  <si>
    <t>1201</t>
  </si>
  <si>
    <t>Priprava gradbišča, odstranitev eventuelnih ovir in utrditev delovnega platoja. Po končanih delih se gradbišče pospravi in vzpostavi v prvotno stanje.</t>
  </si>
  <si>
    <t>1202</t>
  </si>
  <si>
    <t>Pridobitev dovoljenja za cestno zaporo državne ceste, vključno z vsemi elaborati, tehničnimi pogoji, z ureditvijo prometnega režima v času, gradnje z obvestili, dodatno zavarovanje gradbene jame in gradbišča, ter postavitev začasne prometne signalizacije. Po končanih delih se odstrani začasno prometno signalizacijo in prometni režim vzpostavi v prvotno stanje.</t>
  </si>
  <si>
    <t>1203</t>
  </si>
  <si>
    <t>Vzdrževanje vseh prekopanih javnih površin v času od rušitve cestišča do vzpostavitve v prvotno stanje, ki zajema polivanje-protiprašna zaščito, dosip udarnih jam, izdelava nasipov za dostope do objektov, utrjevanje in planiranje vključno z dobavo materiala in delom.</t>
  </si>
  <si>
    <t>1204</t>
  </si>
  <si>
    <t>Izdelava lesenih mostičkov oziroma provizorij dostopov za pešce do objektov preko izkopanih jarkov iz plohov debeline 5 cm. Na provizorij dostopih se uredi ograja iz desk in tramičev. Vse po statičnem izračunu in načrtu izvajalca.</t>
  </si>
  <si>
    <t>1205</t>
  </si>
  <si>
    <t>Fotoevidentiranje obstoječih objektov pred pričetkom gradnje. V ceni je zajeta izdelava poročila v obliki elaborata v 4-ih pisnih izvodih in 1 izvodu na nosilcu CD.</t>
  </si>
  <si>
    <t>1.3</t>
  </si>
  <si>
    <t>NADZOR</t>
  </si>
  <si>
    <t>1301</t>
  </si>
  <si>
    <t>Izvedba projektantskega nadzora, obračun na podlagi potrditve nadzornega organa</t>
  </si>
  <si>
    <t>ur</t>
  </si>
  <si>
    <t>1302</t>
  </si>
  <si>
    <t>Nadzor pristojnih služb ostalih komunalnih vodov na območju, obračun na podlagi potrditve nadzornga organa.</t>
  </si>
  <si>
    <t>1303</t>
  </si>
  <si>
    <t>Izvedba geomehanskega nadzora, prevzem gradbene jame in temeljnih tal, obračun na podlagi potrditve nadzornga organa</t>
  </si>
  <si>
    <t>1401</t>
  </si>
  <si>
    <t>Ostala dodatna in nepredvidena dela. Obračun po dejanskih stroških porabe časa in materiala po vpisu v gradbeni dnevnik. Ocena stroškov 10 % od vrednosti del.</t>
  </si>
  <si>
    <t>Skupaj pripravljalna dela</t>
  </si>
  <si>
    <t>2.1</t>
  </si>
  <si>
    <t>PREDDELA</t>
  </si>
  <si>
    <t>2101</t>
  </si>
  <si>
    <t>Porušitev in odstranitev makadamskega vozišča v debelini nad 20 cm, vključno z nakladanjem na prevozno sredstvo, z odvozom na začasno deponijo izvajalca za kasnejšo uporabo oz. na stalno  gradbeno deponijo in plačilom deponijske takse</t>
  </si>
  <si>
    <t>m3</t>
  </si>
  <si>
    <t>MAKADAM</t>
  </si>
  <si>
    <t>2102</t>
  </si>
  <si>
    <t>Porušitev in odstranitev asfaltne plasti v debelini 6- 10 cm vključno z nakladanjem na prevozno sredstvo, odvozom na stalno gradbeno depoinijo in plačilom deponijske takse.</t>
  </si>
  <si>
    <t>m2</t>
  </si>
  <si>
    <t>2103</t>
  </si>
  <si>
    <t>Porušitev in odstranitev asfaltne plasti v debelini nad 10 cm vključno z nakladanjem na prevozno sredstvo, odvozom na stalno gradbeno depoinijo in plačilom deponijske takse.</t>
  </si>
  <si>
    <t>2104</t>
  </si>
  <si>
    <t>Rezkanje in odvoz krovne plasti v debelini 4 do 7 cm vključno z nakladanjem na prevozno sredstvo, z odvozom na začasno deponijo izvajalca za kasnejšo uporabo oz. na stalno  gradbeno deponijo in plačilom deponijske takse</t>
  </si>
  <si>
    <t>2105</t>
  </si>
  <si>
    <t>Rezanje asfaltne plasti s talno diamantno žago, debele 6 do 10 cm</t>
  </si>
  <si>
    <t>2106</t>
  </si>
  <si>
    <t>Rezanje asfaltne plasti s talno diamantno žago, debele 11 do 15 cm</t>
  </si>
  <si>
    <t>2107</t>
  </si>
  <si>
    <t>Porušitev in odstranitev ojačenega cementnega betona pod asfaltnim slojem ceste v debelini cca. 20 cm vključno z nakladanjem na prevozno sredstvo, prevozom na stalno gradbeno deponijo in plačilom deponijske takse.</t>
  </si>
  <si>
    <t>2108</t>
  </si>
  <si>
    <t>Porušitev in odstranitev robnika iz cementnega betona vključno z nakladanjem na prevozno sredstvo, odvozom na stalno gradbeno depoinijo in plačilom deponijske takse.</t>
  </si>
  <si>
    <t>RUŠ. ROBNIKA</t>
  </si>
  <si>
    <t>2109</t>
  </si>
  <si>
    <t>Široki izkop zrnate kamnine – 3. kategorije – strojno z nakladanjem vključno z nakladanjem na prevozno sredstvo, z odvozom na začasno deponijo izvajalca za kasnejšo uporabo oz. na stalno gradbeno deponijo in plačilom deponijske takse</t>
  </si>
  <si>
    <t>Izven izkopa kanalizacije</t>
  </si>
  <si>
    <t>2.2</t>
  </si>
  <si>
    <t>POSEGI V VOZIŠČNO KONSTRUKCIJO</t>
  </si>
  <si>
    <t>2201</t>
  </si>
  <si>
    <t>Nabava, dobava in vgraditev geotekstila za ločilno plast pod kamnito posteljico, natezna trdnost do 12 kN/m2. V ceni so zajeti preklopi in ves potreben pritrdilni material.</t>
  </si>
  <si>
    <t>2202</t>
  </si>
  <si>
    <t xml:space="preserve">Izvedba kvalitetne kamnite zmrzlinsko obstojne posteljice-kamnolomska stena  0-100mm v debelini 40 cm  do zgoščenosti 98% po proctorju, zahtevana nosilnost Evd= min. 80 MPa! </t>
  </si>
  <si>
    <t>2203</t>
  </si>
  <si>
    <t>Ureditev planuma utrjene/stabilizirane vezljive zemljine – 3. kategorije</t>
  </si>
  <si>
    <t>2204</t>
  </si>
  <si>
    <t>Izvedba nevezana nosilna plast tamponskega drobljenca  TD 0-32mm debeline 20-25 cm  do zgoščenosti 98% po proctorju, zahtevana nosilnost Evd= min. 100 MPa! Debelino tampona mora potrditi geomehanik.</t>
  </si>
  <si>
    <t>2205</t>
  </si>
  <si>
    <t>Odvzem vzorcev in izvedba meritev ustreznosti vgradnje in vgrajenih materialov  ter izdelava končnega poročila s strani akreditirane organizacije.</t>
  </si>
  <si>
    <t>2206</t>
  </si>
  <si>
    <t>Strojno čiščenje asfalta pred pobrizgom z bitumensko emulzijo.</t>
  </si>
  <si>
    <t>2207</t>
  </si>
  <si>
    <t>Pobrizg podlage s polimerno bitumensko emulzijo 0,31 do 0,50 kg/m2</t>
  </si>
  <si>
    <t>2208</t>
  </si>
  <si>
    <t>Premaz stika z bitumensko zmesjo za tesnenje stikov pri vgradnji asfaltnih oblog (npr. sika dilaplast). V ceni je zajeta nabava, dobava in vgradnja materiala, vključno z vsemi pripravljalnimi, pomožnimi in dodatnimi deli.</t>
  </si>
  <si>
    <t>m</t>
  </si>
  <si>
    <t>2209</t>
  </si>
  <si>
    <t>Izdelava nosilne plasti bituminizirane zmesi AC 22 base B 50/70 A3 v debelini 6 cm vključno z nabavo in dobavo materiala</t>
  </si>
  <si>
    <t>lokalne ceste</t>
  </si>
  <si>
    <t>2210</t>
  </si>
  <si>
    <t>Izdelava obrabne in zaporne plasti bituminizirane zmesi AC 11 surf B 50/70 A3 v debelini 4 cm vključno z nabavo in dobavo materiala</t>
  </si>
  <si>
    <t>2211</t>
  </si>
  <si>
    <t>Izdelava nosilne asfaltne plasti iz zmesi AC 22 base B 50/70, A2 v debelini 8 cm vključno z nabavo in dobavo materiala</t>
  </si>
  <si>
    <t>državna cesta</t>
  </si>
  <si>
    <t>2212</t>
  </si>
  <si>
    <t>Izdelava vezne asfaltne plasti iz zmesi AC 16 bin PmB 45/80-65, A2 v debelini 7 cm vključno z nabavo in dobavo materiala</t>
  </si>
  <si>
    <t>2213</t>
  </si>
  <si>
    <t>Izdelava obrabno zaporne asfaltne plasti iz zmesi SMA 11 PmB 45/80-65, A2 v debelini 4 cm vključno z nabavo in dobavo materiala</t>
  </si>
  <si>
    <t>2214</t>
  </si>
  <si>
    <t>Dobava in vgraditev predfabriciranega dvignjenega robnika iz cementnega betona  s prerezom 15/25 cm</t>
  </si>
  <si>
    <t>2215</t>
  </si>
  <si>
    <t>Dobava in vgraditev predfabriciranega pogreznjenjega robnika iz cementnega betona s prerezom 15/25 cm</t>
  </si>
  <si>
    <t>2216</t>
  </si>
  <si>
    <t>Izdelava bankine iz drobljenca, široke do 0,50 m</t>
  </si>
  <si>
    <t>2217</t>
  </si>
  <si>
    <t>Izdelava koritnice iz bitumenskega betona debeline 6 cm, širine 0,50 m</t>
  </si>
  <si>
    <t>2218</t>
  </si>
  <si>
    <t>Izdelava vtočnega jaška iz cementnega betona z neprepustnim dnom, krožnega prereza s premerom 50 cm, globokega do 1,5 m z LTŽ rešetko nosilnosti D 400</t>
  </si>
  <si>
    <t>2219</t>
  </si>
  <si>
    <t>Izdelava tankoslojne vzdolžne označbe, širina črte 10 cm; svetlostni faktor, drsnost, nočna vidnost v mokrih pogojih, kromatske koordinate morajo ustrezati vrednostim znotraj območja, ki ga določa normativ SIST EN 1436+A1.</t>
  </si>
  <si>
    <t>2220</t>
  </si>
  <si>
    <t>Izdelava tankoslojne vzdolžne prekinjene označbe, širina črte 10cm -15cm; svetlostni faktor, drsnost, nočna vidnost v mokrih pogojih, kromatske koordinate morajo ustrezati vrednostim znotraj območja, ki ga določa normativ SIST EN 1436+A1.</t>
  </si>
  <si>
    <t>2301</t>
  </si>
  <si>
    <t>Skupaj posegi v obstoječe vozišče</t>
  </si>
  <si>
    <t>3.1</t>
  </si>
  <si>
    <t>3101</t>
  </si>
  <si>
    <t>Odstranitev žive meje z odvozom na začasno deponijo, vzdrževanje do ponovne zasaditve. V ceni so vključeni tudi vsi stroški deponiranja materiala.</t>
  </si>
  <si>
    <t>3102</t>
  </si>
  <si>
    <t>Odstranitev okrasnih grmovnic z odvozom na  začasno deponijo, vzdrževanje do ponovne zasaditve. V ceni so vključeni tudi vsi stroški deponiranja materiala.</t>
  </si>
  <si>
    <t>3.2</t>
  </si>
  <si>
    <t>DRUGE UREDITVE</t>
  </si>
  <si>
    <t>3201</t>
  </si>
  <si>
    <t>Varovanje oz. po potrebi rušenje vseh vrst obstoječih ograj in vzpostavitev v prvotno stanje po končani gradnji. Vključno z vsemi deli, izkopi, materiali, transporti, ter pristojbinami za odlaganje na deponiji.</t>
  </si>
  <si>
    <t>3301</t>
  </si>
  <si>
    <t>Skupaj drugi posegi na terenu</t>
  </si>
  <si>
    <t>Opomba: Vsa zemeljska dela (izkopi, zasipi) se morajo izvajati pod nadzorom geomehanika, ki bo na licu mesta morebitno podal dodatne napotke glede izvedbe izkopa in zasipa jarkov. V primeru zasipa jarkov z izkopanim materialom mora geomehanik pred izvedbo zasipov potrditi ustreznost materiala!</t>
  </si>
  <si>
    <t>4.1</t>
  </si>
  <si>
    <t>IZKOPI</t>
  </si>
  <si>
    <t>4101</t>
  </si>
  <si>
    <t>Zavarovanje gradbene jame z razpiranjem z  jeklenimi opaži -sistem z vodili (kot npr. SBH, KRINGS ali podobno). Globina jarka do 4,0m.  Vključno z vsemi pomožnimi materiali, deli in transporti.</t>
  </si>
  <si>
    <t>4102</t>
  </si>
  <si>
    <t>Zaščita gradbene jame z zabijanjem jeklenih zagatnic (npr. Larsen ali enakovredno). Globina jarka do 6,0m. Najem in prevoz garniture, zabijanje, razpiranje in izvlačenje.</t>
  </si>
  <si>
    <t>4103</t>
  </si>
  <si>
    <t>Vertikalni strojni izkop gradbene jame globine 0-4m, v terenu III. kat. z nakladanjem na kamion.</t>
  </si>
  <si>
    <t>4104</t>
  </si>
  <si>
    <t>Vertikalni strojni izkop gradbene jame globine 4-6m, v terenu III. kat. z nakladanjem na kamion.</t>
  </si>
  <si>
    <t>4105</t>
  </si>
  <si>
    <t>Široki strojni izkop jarka, skladno z določili geomehanskega poročila, globine 0-4m, v terenu III. kat. z nakladanjem na kamion</t>
  </si>
  <si>
    <t>4106</t>
  </si>
  <si>
    <t xml:space="preserve">Dodatni strojni izkop v dnu gradbene jame – sanacija temejnih tal, v terenu III. kat. Z nakladanjem na kamion. </t>
  </si>
  <si>
    <t>4107</t>
  </si>
  <si>
    <t>Ročni izkop jarka globine globine do 0-4m, z nakladanjem na kamion.</t>
  </si>
  <si>
    <t>4108</t>
  </si>
  <si>
    <t>Ureditev črpalnih jaškov in črpanje talne vode iz gradbene jame pri izvedbi del. OCENA</t>
  </si>
  <si>
    <t>4.2</t>
  </si>
  <si>
    <t>ZASIPI</t>
  </si>
  <si>
    <t xml:space="preserve">4201 </t>
  </si>
  <si>
    <t>Ročno planiranje dna jarka s točnostjo +/- 3 cm po projektiranem padcu.</t>
  </si>
  <si>
    <t>4202</t>
  </si>
  <si>
    <t>Izvedba kamnite posteljice v dnu gradbene jame: Nabava, dobava in vgradnja tamponskega materiala granulacije 0/63 v dnu gradbene jame, v debelini 20cm. Vgrajena plast mora dosegati predpisano projektno nosilnost. V ceni so zajeta tudi vsa pripravljalna in zaključna dela vključno z meritvijo nosilnosti plasti</t>
  </si>
  <si>
    <t>4203</t>
  </si>
  <si>
    <t>Izdelava posteljice iz mešanih kamnitih zrn v debelini 40 cm - sanacija temeljnih tal. V ceni je zajeta nabava, dobava materiala in izdelava posteljice iz kamnitih zrn. Vgrajena plast mora dosegati predpisano projektno nosilnost. V ceni so zajeta tudi vsa pripravljalna in zaključna dela vključno z meritvijo nosilnosti plasti. OPOMBA: se izvede lokalno ob pojavu slabo nosilnih zemljin (lahko gnetna do žitka glina), ki se jih odstrani in nadomesti s kamnitim materialom. Ocena: 10% skupne dolžine kanalizacije.</t>
  </si>
  <si>
    <t>4204</t>
  </si>
  <si>
    <t>Dobava in vgraditev peščenega materiala granulacije 8 do 16 mm za peščeno ležišče cevi (POSTELJICA) s sprotno višinsko kontrolo do predpisane kote dna cevi (10cm + D/10) z komprimacijo do stopnje 97% SPP (standardni Proctorjev preizkus), vključno z nabavo in transportom materiala.</t>
  </si>
  <si>
    <t>4205</t>
  </si>
  <si>
    <t>Dobava in vgraditev peščenega materiala granulacije 8 do 16 mm s komprimacijo, v coni cevovoda v debelini 30 cm nad temenom, s komprimacijo v plasteh po 20 cm, zbitost 95% po proctorju, vključno z nabavo in transportom materiala.</t>
  </si>
  <si>
    <t>4206</t>
  </si>
  <si>
    <t>Nabava, dobava in vgraditev geotekstila za ločilno plast in ovijanje obsipa cevi, natezna trdnost 14 do 16 kN/m2, gostote minimalno 300 g/m2. V ceni so zajeti preklopi in ves potreben pritrdilni material.</t>
  </si>
  <si>
    <t>4207</t>
  </si>
  <si>
    <t>Zasip jarka z dovozom novega gramoznega zasipnega materiala  različnih frakcij z utrjevanjem v slojih po 30 cm do 95 % trdnosti po standardnem Proctorjevem postopku; vključno z nabavo in dobavo zasipnega materiala. Upoštevano 80% od celotnega zasipa.</t>
  </si>
  <si>
    <t>4208</t>
  </si>
  <si>
    <t>Zasipavanje jarka z izkopanim materialom, s komprimiranjem v slojih po 30 cm, do 95 % zgoščenosti po standardnem Proctorjevem postopku, vključno z dovozom iz začasne deponije. Upoštevano 20% od celotnega zasipa.</t>
  </si>
  <si>
    <t>4.3</t>
  </si>
  <si>
    <t>TRANSPORTI, DEPONIJA</t>
  </si>
  <si>
    <t>4301</t>
  </si>
  <si>
    <t>Odvoz odkopanega materiala s kamionom na trajno gradbeno deponijo, vključno s stroški deponije.</t>
  </si>
  <si>
    <t>4302</t>
  </si>
  <si>
    <t>Odvoz odkopanega materiala s kamionom na začasno gradbeno deponijo.</t>
  </si>
  <si>
    <t>4401</t>
  </si>
  <si>
    <t>Skupaj zemeljska dela</t>
  </si>
  <si>
    <t>5.1</t>
  </si>
  <si>
    <t>CEVI</t>
  </si>
  <si>
    <t>5101</t>
  </si>
  <si>
    <t>Nabava, dobava in montaža kanalizacijskih cevi DN 250 mm iz armiranega poliestra (GRP) izdelane po SIST EN 14364: 2013, nazivne togosti SN 10.000 N/m2, kompletno z potrebnimi spojkami. Cev ima na eni strani montirano spojko iz poliestra z EPDM tesnilom. Spoj (tesnilo) mora biti zaradi zagotovitve kvalitete spoja preizkušen skupaj s cevmi (certifikat). Notranji zaščitni sloj cevi iz čistega poliestra, brez polnila in ojačitve, mora imeti minimalno debelino 1,0 mm s ciljem doseganja tesnosti, kemijske in abrazijske obstojnosti in odpornosti na obrus pri visokotlačnem čiščenju. Vključen je tudi prevoz in prenos kanalizacijskih cevi iz deponije do mesta vgradnje.</t>
  </si>
  <si>
    <t>5102</t>
  </si>
  <si>
    <t>Nabava, dobava in montaža kanalizacijskih cevi DN 300 mm iz armiranega poliestra (GRP) izdelane po SIST EN 14364: 2013, nazivne togosti SN 10.000 N/m2, kompletno z potrebnimi spojkami. Cev ima na eni strani montirano spojko iz poliestra z EPDM tesnilom. Spoj (tesnilo) mora biti zaradi zagotovitve kvalitete spoja preizkušen skupaj s cevmi (certifikat). Notranji zaščitni sloj cevi iz čistega poliestra, brez polnila in ojačitve, mora imeti minimalno debelino 1,0 mm s ciljem doseganja tesnosti, kemijske in abrazijske obstojnosti in odpornosti na obrus pri visokotlačnem čiščenju. Vključen je tudi prevoz in prenos kanalizacijskih cevi iz deponije do mesta vgradnje.</t>
  </si>
  <si>
    <t>5103</t>
  </si>
  <si>
    <t>Nabava, dobava in montaža PE100 cevi d110 16 bar za tlačni cevovod s prevozom in prenos kanalizacijskih cevi do mesta vgraditve. V ceni je všteta nabava, dobava in montaža PEHD fazonskih kosov za tlačni cevovod.</t>
  </si>
  <si>
    <t>5.2</t>
  </si>
  <si>
    <t>JAŠKI</t>
  </si>
  <si>
    <t>5201</t>
  </si>
  <si>
    <t xml:space="preserve">Nabava, dobava in montaža revizijskih jaškov iz armiranega poliestra po SIST EN 14364, min. SN 5.000 N/m2, komplet z izdelano muldo in priključnimi cevmi (vtok, Iztok).  Minimalna debelina sten revizijskega jaška je 15mm. Jaški morajo biti izdelani po enaki tehnologiji kot kanalizacijske cevi. Vgradnja po detajlu. Premer jaška 1000mm, priključna cev DN250-300mm, globina  1 - 2m. </t>
  </si>
  <si>
    <t>5202</t>
  </si>
  <si>
    <t xml:space="preserve">Nabava, dobava in montaža revizijskih jaškov iz armiranega poliestra po SIST EN 14364, min. SN 5.000 N/m2, komplet z izdelano muldo in priključnimi cevmi (vtok, Iztok).  Minimalna debelina sten revizijskega jaška je 15mm. Jaški morajo biti izdelani po enaki tehnologiji kot kanalizacijske cevi. Vgradnja po detajlu. Premer jaška 1000mm, priključna cev DN250-300mm, globina  2 - 3m. </t>
  </si>
  <si>
    <t>5203</t>
  </si>
  <si>
    <t xml:space="preserve">Nabava, dobava in montaža revizijskih jaškov iz armiranega poliestra po SIST EN 14364, min. SN 5.000 N/m2, komplet z izdelano muldo in priključnimi cevmi (vtok, Iztok).  Minimalna debelina sten revizijskega jaška je 15mm. Jaški morajo biti izdelani po enaki tehnologiji kot kanalizacijske cevi. Vgradnja po detajlu. Premer jaška 1000mm, priključna cev DN250-300mm, globina  3 - 4m. </t>
  </si>
  <si>
    <t>5204</t>
  </si>
  <si>
    <t xml:space="preserve">Nabava, dobava in montaža revizijskih jaškov iz armiranega poliestra po SIST EN 14364, min. SN 5.000 N/m2, komplet z izdelano muldo in priključnimi cevmi (vtok, Iztok).  Minimalna debelina sten revizijskega jaška je 15mm. Jaški morajo biti izdelani po enaki tehnologiji kot kanalizacijske cevi. Vgradnja po detajlu. Premer jaška 1000mm, priključna cev DN250-300mm, globina  4 - 5m. </t>
  </si>
  <si>
    <t>5205</t>
  </si>
  <si>
    <t>Dobava in vgradnja LTŽ pokrova in okvirja fi 600mm, skladno s SIST EN 124-1:2015, nosilnost D 400kN. Pokrov na zaklep, protihrupni vložek, z odprtinami za zračenje. Skupaj z razbremenilno AB ploščo za montažo na jašek DN1000 mm, ter vsemi potrebnimi deli in materiali. Vključno z AB vencem za vgradnjo LTŽ pokrova ter dobavo in vgrajevanjem betona C16/20.</t>
  </si>
  <si>
    <t>5206</t>
  </si>
  <si>
    <t>Dodatek za izdelavo kaskade na poliesterskem jašku iz PVC cevi dim. DN 160mm.</t>
  </si>
  <si>
    <t>5.3</t>
  </si>
  <si>
    <t>PRIKLJUČKI</t>
  </si>
  <si>
    <t>5301</t>
  </si>
  <si>
    <t>Izdelava priključka na javnem kanalu GRP DN 250, s prefabriciranim sedlastim nastavkom  DN 250/160-45° in lokom PVC DN 160-45°, polno obbetonirano z betonom C16/20, po detajlu</t>
  </si>
  <si>
    <t>5302</t>
  </si>
  <si>
    <t>Izdelava priključka na javnem kanalu GRP DN 300, s prefabriciranim sedlastim nastavkom  DN 300/160-45° in lokom PVC DN 160-45°, polno obbetonirano z betonom C16/20, po detajlu</t>
  </si>
  <si>
    <t>5303</t>
  </si>
  <si>
    <t xml:space="preserve">Izdelava priključka PVC cevi DN160 mm na poliestrski revizijski jašek, po detajlu </t>
  </si>
  <si>
    <t>5304</t>
  </si>
  <si>
    <t>Izdelava vpadnega jaška iz PVC cevi DN 160 mm in fazonskih kosov, polno obbetonirano; po detajlu</t>
  </si>
  <si>
    <t>5.4</t>
  </si>
  <si>
    <t>PREGLED</t>
  </si>
  <si>
    <t>5401</t>
  </si>
  <si>
    <t>Čiščenje kanala pred izvedbo preizkusa tesnosti.</t>
  </si>
  <si>
    <t>5402</t>
  </si>
  <si>
    <t>Preizkus tesnosti kanala po standardu SIST EN 1610  - gravitacijski kanal. Vključno z vsemi dodatnimi in zaščitnimi deli.</t>
  </si>
  <si>
    <t>5403</t>
  </si>
  <si>
    <t>Pregled in snemanje s TV kamero vseh gravitacijskih kanalizacijskih cevi,  jaškov in vseh cevnih odsekov. Snemanje kanala po standardu SIST EN 13508-2:2003 in skladno z nemškimi smernicami ATV-M 143-2.</t>
  </si>
  <si>
    <t>5.5</t>
  </si>
  <si>
    <t>KRIŽANJA</t>
  </si>
  <si>
    <t>5501</t>
  </si>
  <si>
    <t>Izvedba križanja z obstoječim vodovodom v skladu z navodili upravljavca komunalnega voda</t>
  </si>
  <si>
    <t>5502</t>
  </si>
  <si>
    <t>Izvedba križanja z obstoječim plinovodom v skladu z navodili upravljavca komunalnega voda</t>
  </si>
  <si>
    <t>5503</t>
  </si>
  <si>
    <t>Izvedba križanja z obstoječim podzemnim telekomunikacijskim vodom v skladu z navodili upravljavca komunalnega voda</t>
  </si>
  <si>
    <t>5504</t>
  </si>
  <si>
    <t>Izvedba križanja z obstoječim podzemnim elektro vodom v skladu z navodili upravljavca komunalnega voda</t>
  </si>
  <si>
    <t>5505</t>
  </si>
  <si>
    <t>Izvedba križanja z obstoječim kanalom za odpadno padavinsko vodo v skladu z navodili upravljavca komunalnega voda</t>
  </si>
  <si>
    <t>5506</t>
  </si>
  <si>
    <t>Izvedba križanja z obstoječim podzemnim vodom javne razsvetljave v skladu z navodili upravljavca komunalnega voda</t>
  </si>
  <si>
    <t>5507</t>
  </si>
  <si>
    <t>Varovanje oz. prestavitve obstoječih telekomunikacijskih vodov v kolikor ni možna ustrezna zaščita. Vse v skladu z navodili upravljavcev komunalnih vodov. V ceni so zajeta vsa pripravljalna, gradbeno obrtniška, inštalacijska in zaključna dela in stroški potrebne projektne dokumentacije in soglasij upravljalca kom. naprave. Obračun po m1 prestavljenega voda.</t>
  </si>
  <si>
    <t>5508</t>
  </si>
  <si>
    <t>Varovanje oz. prestavitve obstoječih elektroenergetskih vodov v kolikor ni možna ustrezna zaščita. Vse v skladu z navodili upravljavcev komunalnih vodov. V ceni so zajeta vsa pripravljalna, gradbeno obrtniška, inštalacijska in zaključna dela in stroški potrebne projektne dokumentacije in soglasij upravljalca kom. naprave. Obračun po m1 prestavljenega voda.</t>
  </si>
  <si>
    <t>5509</t>
  </si>
  <si>
    <t>Varovanje oz. prestavitve obstoječih vodov javne razsvetljave v kolikor ni možna ustrezna zaščita. Vse v skladu z navodili upravljavcev komunalnih vodov. V ceni so zajeta vsa pripravljalna, gradbeno obrtniška, inštalacijska in zaključna dela in stroški potrebne projektne dokumentacije in soglasij upravljalca kom. naprave. Obračun po m1 prestavljenega voda.</t>
  </si>
  <si>
    <t>5510</t>
  </si>
  <si>
    <t>Izvedba križanja z obstoječim padavinskim kanalom. Strojno in ročno rušenje obstoječih kanalizacijskih povezav (odvodnjavanje) iz cevi DN 500, nakladanje in odvoz na stalno deponijo, vključno z deponijsko takso. Vzpostavitev kanala v prvotno stanje vključno z vsem materialom in delom.</t>
  </si>
  <si>
    <t>5601</t>
  </si>
  <si>
    <t>Skupaj kanalizacijska dela</t>
  </si>
  <si>
    <t>NAVEZAVE NA HIŠNE PRIKLJUČKE ZA KOM. ODPADNO VODO</t>
  </si>
  <si>
    <t>6001</t>
  </si>
  <si>
    <t>Izdelava odcepov za hišne priključke na proj. kanal, odcepi iz PVC cevi DN 160 SN8, po standardu EN1401-1 . Vključno z z izkopom in varovanjem gradbene jame, nakladanjem in odvozom na stalno deponijo, skupaj s stroški deponije. Vključno s  planiranjem in utrjevanjem dna jarka,nabavo, dobavo in vgradnjo betona za izdelavo posteljice in obbetoniranjem cevi ter zasipom do kote terena (po detajlu). Posteljica in obsip se ob potrditvi geomehanika in projektanta priključka lahko izvede tudi iz peščenega materiala. Nabava, dobava in vgradnja novega zasipnega materiala. Vključno s črpanjem vode iz gradbene jame. Vključno z nabavo in položitvijo PVC cevi (z vsemi koleni in fazonskimi kosi) od odcepa do revizijskega jaška. Vključno z vzpostavitvijo prvotnega stanja. Pri izdelavi hišnega priključka so vključena vsa režijska dela, zakoličba, postavitev profilov, rezanje asfalta, rušenje asfalta, odstranjevanje tlakovcev, robnikov, izkop, križanje z obstoječimi komunalnimi vodi in ostala dela v povezavi s hišnimi priključki. Izvede se ureditev in vsi potrebni ukrepi pri križanju s komunalno infrastrukturo skladno z navodili upravljavcev. Vključno z izdelavo geodetskega posnetka v skladu z zahtevami upravljavca kanalizacijskega omrežja. Upoštevati načrt hišnega priključka.</t>
  </si>
  <si>
    <t>6002</t>
  </si>
  <si>
    <t>Dobava revizijskih jaškov iz armiranega poliestra  po SIST EN 14 364: 2013, komplet z izdelano muldo. Komplet z razbremenilno ploščo za pokrov, AB vencem in LŽ pokrovom fi 600 mm, EN 124-1:2015 nosilnost vsaj C250 kN. Premer jaška 800mm za priključno cev DN160-200mm do globine jaška 1,5m in navezava obstoječe cevi. Postavitev jaška za parcelno mejo s pokrovom nosilnosti 250 kN - nepovozne površine.</t>
  </si>
  <si>
    <t>6003</t>
  </si>
  <si>
    <t>Dobava revizijskih jaškov iz armiranega poliestra  po SIST EN 14 364: 2013, komplet z izdelano muldo. Komplet z razbremenilno ploščo za pokrov, AB vencem in LŽ pokrovom fi 600 mm, EN 124-1:2015 nosilnost vsaj C250 kN. Premer jaška 1000mm za priključno cev DN160-200mm do globine jaška 2,5m in navezava obstoječe cevi. Postavitev jaška za parcelno mejo s pokrovom nosilnosti 250 kN - nepovozne površine.</t>
  </si>
  <si>
    <t>6101</t>
  </si>
  <si>
    <t>Skupaj navezava na hišne priključke</t>
  </si>
  <si>
    <t xml:space="preserve">Odsek 2: kanali O3 (od pr. do RJ4), O3-1 (od pr. do RJ4), </t>
  </si>
  <si>
    <t>*0,04</t>
  </si>
  <si>
    <t>*0,05</t>
  </si>
  <si>
    <t>Izdelava priključka na javnem kanalu GRP DN 250, s prefabriciranim sedlastim nastavkom  DN 250/200-45° in lokom PVC DN 200-45°, polno obbetonirano z betonom C16/20, po detajlu</t>
  </si>
  <si>
    <t>Izdelava odcepov za hišne priključke na proj. kanal, odcepi iz PVC cevi DN 200 SN8, po standardu EN1401-1 . Vključno z z izkopom in varovanjem gradbene jame, nakladanjem in odvozom na stalno deponijo, skupaj s stroški deponije. Vključno s  planiranjem in utrjevanjem dna jarka,nabavo, dobavo in vgradnjo betona za izdelavo posteljice in obbetoniranjem cevi ter zasipom do kote terena (po detajlu). Posteljica in obsip se ob potrditvi geomehanika in projektanta priključka lahko izvede tudi iz peščenega materiala. Nabava, dobava in vgradnja novega zasipnega materiala. Vključno s črpanjem vode iz gradbene jame. Vključno z nabavo in položitvijo PVC cevi (z vsemi koleni in fazonskimi kosi) od odcepa do revizijskega jaška. Vključno z vzpostavitvijo prvotnega stanja. Pri izdelavi hišnega priključka so vključena vsa režijska dela, zakoličba, postavitev profilov, rezanje asfalta, rušenje asfalta, odstranjevanje tlakovcev, robnikov, izkop, križanje z obstoječimi komunalnimi vodi in ostala dela v povezavi s hišnimi priključki. Izvede se ureditev in vsi potrebni ukrepi pri križanju s komunalno infrastrukturo skladno z navodili upravljavcev. Vključno z izdelavo geodetskega posnetka v skladu z zahtevami upravljavca kanalizacijskega omrežja. Upoštevati načrt hišnega priključka.</t>
  </si>
  <si>
    <t>6004</t>
  </si>
  <si>
    <t xml:space="preserve">Odsek 3: kanal O (od RJ7a-obst. do RJ19) </t>
  </si>
  <si>
    <t>Pridobitev dovoljenja za cestno zaporo občinske ceste, vključno z vsemi elaborati, tehničnimi pogoji, z ureditvijo prometnega režima v času, gradnje z obvestili, dodatno zavarovanje gradbene jame in gradbišča, ter postavitev začasne prometne signalizacije. Po končanih delih se odstrani začasno prometno signalizacijo in prometni režim vzpostavi v prvotno stanje.</t>
  </si>
  <si>
    <t>Izvedba nevezana nosilna plast tamponskega drobljenca  TD 0-32mm debeline 20 cm do zgoščenosti 98% po proctorju, zahtevana nosilnost Evd= min. 100 MPa! Debelino tampona mora potrditi geomehanik.</t>
  </si>
  <si>
    <t>3103</t>
  </si>
  <si>
    <t>Odriv humusa debeline 20cm minimalno 5m od roba gradbene jame, oziroma odvoz na začasno deponijo izvajalca za kasnejšo uporabo</t>
  </si>
  <si>
    <t>3202</t>
  </si>
  <si>
    <t>Navoz plodne zemlje v debelini 15 cm, ročno razgrinjanje, grobo in fino planiranje, dognojevanje, nabava in setev travne mešanice (cca. 25-50 g travne mešanice na m²), zagrabljanje, uvaljanje in čiščenje po končanih delih (material z začasne deponije, odriv).</t>
  </si>
  <si>
    <t>Izdelava posteljice iz mešanih kamnitih zrn v debelini 40 cm - sanacija temeljnih tal. V ceni je zajeta nabava, dobava materiala in izdelava posteljice iz kamnitih zrn. Vgrajena plast mora dosegati predpisano projektno nosilnost. V ceni so zajeta tudi vsa pripravljalna in zaključna dela vključno z meritvijo nosilnosti plasti. OPOMBA: se izvede lokalno ob pojavu slabo nosilnih zemljin (lahko gnetna do žitka glina), ki se jih odstrani in nadomesti s kamnitim materialom.</t>
  </si>
  <si>
    <t>4209</t>
  </si>
  <si>
    <t>Vgradnja pustega betona v debelini 20 cm v dno gradbene jame - sanacija temeljnih tal. V ceni je zajeta nabava, dobava materiala in vgradnja. V ceni so zajeta tudi vsa pripravljalna in zaključna dela. OPOMBA: se izvede lokalno ob pojavu precejih vod v dnu izkopa. Ocena: 20% skupne dolžine kanalizacije.</t>
  </si>
  <si>
    <t>Izvedba križanja z obstoječim padavinskim kanalom. Strojno in ročno rušenje obstoječih kanalizacijskih povezav (odvodnjavanje) iz cevi DN 300, nakladanje in odvoz na stalno deponijo, vključno z deponijsko takso. Vzpostavitev kanala v prvotno stanje vključno z vsem materialom in delom.</t>
  </si>
  <si>
    <t xml:space="preserve">Odsek 4: kanala Os in O1 (od RJ1 do RJ2) </t>
  </si>
  <si>
    <t>B.</t>
  </si>
  <si>
    <t>Črpališče - gradbeni in strojni del</t>
  </si>
  <si>
    <t>GRADBENA DELA</t>
  </si>
  <si>
    <t>MONTAŽNA IN DRUGA DELA</t>
  </si>
  <si>
    <t>VODOVODNI PRIKLJUČEK</t>
  </si>
  <si>
    <t>ZUNANJA UREDITEV</t>
  </si>
  <si>
    <t>7.0</t>
  </si>
  <si>
    <t>HIDROMEHANSKA OPREMA IN OBRTNIŠKA DELA</t>
  </si>
  <si>
    <t>1.) Vsa varovanja, zaščite, prestavitve,... drugih obstoječih komunalnih vodov na območju posega se izvedejo po navodilih in pod nadzorom upravljalcev teh vodov. Obračun v zvezi s prestavitvami se izvede po dejanskih količinah z vpisom v gradbenih knjigah. Pri vseh izkopih in zasipih je potrebno faktorrazrahljivosti (razsutja) upoštevati v ceni na enoto!</t>
  </si>
  <si>
    <t>Ponudbena cena</t>
  </si>
  <si>
    <t>Znesek</t>
  </si>
  <si>
    <t>Zakoličenje objekta, z zavarovanjem osi  in vsa druga geodetska dela v času gradnje, ki so potrebna za nemoteno izvajanje del (smeri, višine, vmesne, začasne in končne zakoličbe…)</t>
  </si>
  <si>
    <t>Zakoličenje vogalov zaščite gradbene jame s postavitvijo gradbenih profilov in označbo višin.</t>
  </si>
  <si>
    <t xml:space="preserve">Priprava gradbišča: odstranitev eventuelnih ovir, prometnih znakov in ureditev delovnega platoja, zavarovanje ograja. Po končanih delih gradbišče pospraviti in vzpostaviti v prvotno stanje. </t>
  </si>
  <si>
    <t>Poravnava območja in prirava terena za zabijanje zagatnic z odvozom odvečnega materiala</t>
  </si>
  <si>
    <t>1402</t>
  </si>
  <si>
    <t>Dovoz in odvoz ter selitve opreme za zabijanje zagatnic</t>
  </si>
  <si>
    <t>1501</t>
  </si>
  <si>
    <t>Izvedba zaščite izkopa z zagatnicami: Zagatnice tipa Larssen 603 ali drugačne z ustreznim odporom W&gt;=1150 cm3/m', dolžine L=12m. V ceni zajeti najem, dovoz, manipulacije na gradbišču, zabijanje z vibracijskim zabijalom, čiščenje in odvoz ter mobilizacija in demobilizacija opreme. Vse zagatnice morajo biti po vgradnji medsebojno povezane. Izvajalec mora imeti povezovalne elemente za stikovanje zagatnic na vogalih. V ceni zajeti tudi delni izvlek posameznih zagatnic med povezovanjem črpališča z dohodnimi in odhodnimi kanali.</t>
  </si>
  <si>
    <t>Vgradnja reperjev za meritve horizontalnih pomikov vrha zagatne stene v smeri gradbene jame; v ceni zajeti vgradnjo 4 reperjev na vrhu zagatne stene (na sredini stranic), ničelno meritev in še 3 meritve za različne faze dela (izkop do 1 razpore; izkop do 2 razpore, izkop do konca)</t>
  </si>
  <si>
    <t>Široki izkop vezljive zemljine globine do 1,0m, v terenu III. kategorije, strojno z nakladanjem na kamion</t>
  </si>
  <si>
    <t>Ročni izkop jarka z nakladanjem na kamion.</t>
  </si>
  <si>
    <t>Izdelava razpor iz profila HEA200 ali močnejšim z ojačitvami in prirezovanjem, pripravo za zvare in varjenje priključnih zvarov, ter demontažo v skladu z napredovanjem projekta.</t>
  </si>
  <si>
    <t>Nabava, dobava in vgradnja jalovinskega materiala za začasni delovni plato na kotah izvedbe razpor.</t>
  </si>
  <si>
    <t>Nabava, dobava in vgradnja dobro granuliranega in slabo propustnega jalovinskega materiala za zasip med zagatnicami in objektom. Zasip se mora izvesti v plasteh po 50 cm s sprotnim uvaljanjem do kote terena, tako daje dosežen modul Ev2 najmanj 40 Mpa in Ed=&gt;20 Mpa (merjeno pred izvlekom zagatnic) - upoštevana kubatura vgrajenega materiala</t>
  </si>
  <si>
    <t>2401</t>
  </si>
  <si>
    <t>BETONSKA DELA</t>
  </si>
  <si>
    <t>Nabava, dobava in vgradnja zemeljsko vlažnega  betona. Podložni beton pod jaški.</t>
  </si>
  <si>
    <t>kg</t>
  </si>
  <si>
    <t>TESARSKA DELA</t>
  </si>
  <si>
    <t>GRADBENA DELA ZA ELEKTRO INŠTALACIJE</t>
  </si>
  <si>
    <t>3601</t>
  </si>
  <si>
    <t>3602</t>
  </si>
  <si>
    <t>3603</t>
  </si>
  <si>
    <t>Dobava in vgrajevanje peska za polaganje cevi kabelske  kanalizacije v deb. 10-15 cm pod cevjo in 30 cm nad cevjo; s postopnim utrjevanjem obsipa in zasipa cevi (stopnja zbitosti po Proctorju Dpr &gt;= 95 %)</t>
  </si>
  <si>
    <t>3604</t>
  </si>
  <si>
    <t>3605</t>
  </si>
  <si>
    <t>3606</t>
  </si>
  <si>
    <t>3607</t>
  </si>
  <si>
    <t>Zasip jarka z dovozom  novega zasipnega materiala  z utrjevanjem v slojih po 95 % trdnosti po standardnem Proktorjevem postopku</t>
  </si>
  <si>
    <t>3701</t>
  </si>
  <si>
    <t>Skupaj gradbena dela</t>
  </si>
  <si>
    <t>Skupaj montažna in druga dela</t>
  </si>
  <si>
    <t>ZEMELJSKA IN GRADBENA DELA</t>
  </si>
  <si>
    <t>Zakoličba osi cevovoda z zavarovanjem osi, oznako horizontalnih in vertikalnih lomov, oznako vozlišč, odcepov in zakoličba mesta prevezave na javni cevovod ter vris v kataster in izdelava geodetskega posnetka.</t>
  </si>
  <si>
    <t>Postavitev gradbenih profilov na vzpostavljeno os trase cevovoda ter določitev nivoja za merjenje globine izkopa in polaganje cevovoda</t>
  </si>
  <si>
    <t>Strojni izkop jarka globine do 2,0 m, z odlaganjem materiala 1,0 m od roba izkopa. Brežine se izvajajo v naklonu 60°. Širina dna izkopa je: 50cm; 90% od celotnega izkopa</t>
  </si>
  <si>
    <t>5104</t>
  </si>
  <si>
    <t>Ročni izkop jarka globine do 2,0 m, z odlaganjem materiala 1,0 m od roba izkopa. Brežine se izvajajo v naklonu 60°. Širina dna izkopa je: 50cm; 10% od celotnega izkopa</t>
  </si>
  <si>
    <t>5105</t>
  </si>
  <si>
    <t>Ročno planiranje dna jarka s točnostjo do 3 cm v projektiranem padcu.</t>
  </si>
  <si>
    <t>5106</t>
  </si>
  <si>
    <t>Izdelava peščenega nasipa za izravnavo dna jarka debeline cca 10 cm, z 2 sejanim peskom</t>
  </si>
  <si>
    <t>5107</t>
  </si>
  <si>
    <t>Nabava in transport materiala za izdelavo nasipa nad položeno cevjo, na nasip za izravnavo jarka se izvede 3-5 cm debel nasip za poravnavo tal v katerega si cev izdela ležišče. Obsip cevi se izvaja v slojih po 15-20 cm istočasno na obeh straneh cevi. Paziti je potrebno, da se cev ne premakne iz ležišča. Obsip in nasip se utrjujeta po standardnem Proktorjevem postopku do 90% trdnosti. Obsipni material je 2x sejani pesek.</t>
  </si>
  <si>
    <t>5108</t>
  </si>
  <si>
    <t>Zasipavanje vodovodnega jarka z novim zasipnim materialom s komprimiranjem zemljine v slojih po 20 cm. Obračun za 1m3 izvedenega zasipa.</t>
  </si>
  <si>
    <t>5109</t>
  </si>
  <si>
    <t>5110</t>
  </si>
  <si>
    <t>Odvoz odkopanega materiala s kamionom kiperjem na gradbeno deponijo do 5 km, z nakladanjem, razkladanjem, razgrinjanjem, planiranjem in utrjevanjem v slojih po 50 cm. Vključno s stroški deponije.</t>
  </si>
  <si>
    <t>5111</t>
  </si>
  <si>
    <t>Podbetoniranje vodovodne armature, zasuni Obračun 0,25 m3/kos izvedenega podbetoniranja.</t>
  </si>
  <si>
    <t>SKUPAJ ZEMELJSKA IN GRADBENA DELA - vodovodni piključek</t>
  </si>
  <si>
    <t>MONTAŽNA DELA</t>
  </si>
  <si>
    <t xml:space="preserve">Priprava gradbišča, deponija vodovodnega materiala, prevoz in prenos vodovodnega materiala iz deponije do mesta vgradnje, spuščanje vodovodnega materiala v jarek ter poravnava. </t>
  </si>
  <si>
    <t>Montaža vodovodnih cevi, na peščeno posteljico; nabava in polaganje signalnega in opozorilnega traku nad vodovodnimi cevmi;</t>
  </si>
  <si>
    <t>Montaža zasunov z vgradno garnituro in cestno kapo ter montažo betonskih podložnih plošč.</t>
  </si>
  <si>
    <t xml:space="preserve">Tlačni preizkus položenega cevovoda po standardu SIST EN 805; Izpiranje položenega cevovoda. </t>
  </si>
  <si>
    <t>SKUPAJ MONTAŽNA DELA - vodovodni piključek</t>
  </si>
  <si>
    <t>VODOVODNI MATERIAL</t>
  </si>
  <si>
    <t xml:space="preserve">Cevi PE100d32/PN 16  priključna cev </t>
  </si>
  <si>
    <t xml:space="preserve">Cevi PE80d75/PN 12.5, zaščitna cev </t>
  </si>
  <si>
    <t>5305</t>
  </si>
  <si>
    <t>Vodomer APATOR WM 4 DN20 z impulznim izhodom in nosilcem; vključno s stroški transporta materiala</t>
  </si>
  <si>
    <t>5306</t>
  </si>
  <si>
    <t xml:space="preserve">Material za daljinsko odčitavanje vodomerov, vključno z vgradnjo, programiranjem in izdelavo poročila  -REED senzor za vodomer APATOR WM 4 DN20  - radio modul </t>
  </si>
  <si>
    <t>SKUPAJ VODOVODNI MATERIAL - vodovodni piključek</t>
  </si>
  <si>
    <t>Skupaj vodovodni priključek</t>
  </si>
  <si>
    <t>Nabava, dobava in vgraditev geotekstila za ločilno plast, natezna trdnost 14 do 16 kN/m2, gostote minimalno 300 g/m2. V ceni so zajeti preklopi in ves potreben pritrdilni material.</t>
  </si>
  <si>
    <t>Izdelava posteljice iz drobljenih kamnitih zrn v debelini 40 cm vključno z nabavo in dobavo materiala</t>
  </si>
  <si>
    <t xml:space="preserve"> Izdelava nevezane nosilne plasti enakomerno zrnatega drobljenca iz kamnine v debelini 21 do 30 cm vključno z nabavo in dobavo materiala</t>
  </si>
  <si>
    <t>Planiranje in valjanje planuma spodnjega ustroja - kamnite posteljice do 80 MPa.</t>
  </si>
  <si>
    <t>Izdelava enoslojnega asfalta iz bituminizirane zmesi AC 16 surf B 50/70 A4 v debelini 8 cm vključno z nabavo in dobavo materiala</t>
  </si>
  <si>
    <t>Razgrinjanje in planiranje humusa s transportom materiala iz začasne deponije v plasteh do 20cm. Ocena</t>
  </si>
  <si>
    <t>Setev trave: planiranje, setev in prekrivanje semena, valjanje in zalivanje</t>
  </si>
  <si>
    <t>Skupaj zunanja ureditev</t>
  </si>
  <si>
    <t>OPOMBI: Vsi vijaki in podložke iz nerjevečega jekla min. kvalitete AISI 316 ali pocinkani. Vse vgrajene armature (lopute, zasuni,) morajo biti obvezno izvedbe za kanalizacijo za komunalno odpadno vodo! Deli iz nodularne litine so zunaj in znotraj premazani z epoksi barvo min 250 μm.</t>
  </si>
  <si>
    <t>7101</t>
  </si>
  <si>
    <t>Motorni kabel S3x2,5+3x2,5/3+S(4x0,5) – 10m; 2 kos</t>
  </si>
  <si>
    <t>Držalo kabla 17-27mm; 2 kos</t>
  </si>
  <si>
    <t>Sidrni vijaki 4xM16 z ampulami za sidranje; 2 kos</t>
  </si>
  <si>
    <t>Zgornje držalo vodil 2ˇ iz AISI 316 s pritrdilnim kpl.; 2 kos</t>
  </si>
  <si>
    <t>Vponka iz AISI 316, nosilnost 900 kg; 2 kos</t>
  </si>
  <si>
    <t>SKUPAJ 2 kos črpalka z zaščitami in priborom</t>
  </si>
  <si>
    <t>7102</t>
  </si>
  <si>
    <t>Kompletna izvedba tlačnih vodov od črpalk do priključitve na cevovod pred armaturnim jaškom izven objekta črpališča; Material: AISI 316. Posamezni elementi tlačnega voda so varjeni. Dolžino in obliko tlačnega voda je potrebno prilagoditi dejanskemu stanju na terenu.</t>
  </si>
  <si>
    <t>SKUPAJ tlačni vod v črpališču</t>
  </si>
  <si>
    <t>Nabava, dobava in montaža tlačnih vodov v armaturnem jašku, material nerjaveče jeklo AISI 316.</t>
  </si>
  <si>
    <t>7201</t>
  </si>
  <si>
    <t>7202</t>
  </si>
  <si>
    <t>7203</t>
  </si>
  <si>
    <t>7301</t>
  </si>
  <si>
    <t>Skupaj hidromehanska oprema in obrtniška dela</t>
  </si>
  <si>
    <t>C.</t>
  </si>
  <si>
    <t>Črpališče - elektro del</t>
  </si>
  <si>
    <t>C.1</t>
  </si>
  <si>
    <t>Nizkonapetostni dovodni kabel</t>
  </si>
  <si>
    <t>C.2</t>
  </si>
  <si>
    <t>Električne inštalacije in oprema črpališča</t>
  </si>
  <si>
    <t>SKUPAJ:</t>
  </si>
  <si>
    <t>Nadzor predstavnika elektrodistribucije pri polaganju NN dovoda, vris v kataster in zemljiško knjigo, zakoličba trase in kasnejše oznake za el. kabel, izedalava meritev in merilnih protokolov in PID projektov.</t>
  </si>
  <si>
    <t>VSE SKUPAJ</t>
  </si>
  <si>
    <t>OPOMBA: Gradbena dela za NN dovod so upoštevana v gradbenem delu projekta.</t>
  </si>
  <si>
    <t>Pred nabavo dovodnega kabla je potrebno izdelati točne dolžine glede na narejen izkop.</t>
  </si>
  <si>
    <t>Programska oprema</t>
  </si>
  <si>
    <t>Dobavi in izvede se oprema po specifikaciji v tehničnem poročilu</t>
  </si>
  <si>
    <t>Vsa vgrajena oprema elektroinštalacij mora biti obvezno usklajena in odobrena</t>
  </si>
  <si>
    <t>s strani predstavnika bodočega upravljavca črpališča!</t>
  </si>
  <si>
    <t>Ureditev črpalnih jaškov in črpanje talne vode iz gradbene jame pri izvedbi del. Dotok vode bo minimalen. Bolj obsežno črpanje bo potrebno le v času padavin, ko se bo gradbena jama napolnila z vodo. Ocena</t>
  </si>
  <si>
    <t>Nabava, dobava in vgraditev geosintetika za ločilno plast pri izvedbi začasnega delovnega platoja (upoštevano 3x30m2)</t>
  </si>
  <si>
    <t>Nabava, dobava in vgradnja kamnitega materiala na dnu izkopa za sanacijo slabo nosilnih temeljnih tal. Zasipni material se položi na ločilni geosintetik.</t>
  </si>
  <si>
    <r>
      <t xml:space="preserve">Izdelava enostranskega opaža za AB talno ploščo, s prenosom materiala do mesta vgradnje, razopaženjem in vsemi pomožnimi deli. Vključno z opažem za izvedbo poglobitve arm. jaška. - </t>
    </r>
    <r>
      <rPr>
        <i/>
        <sz val="10"/>
        <rFont val="Arial"/>
        <family val="2"/>
        <charset val="238"/>
      </rPr>
      <t>Črpališče, podstavek</t>
    </r>
  </si>
  <si>
    <r>
      <t xml:space="preserve">Izdelava gladkega dvostranskega opaža za ravne AB stene s prenosom materiala do mesta vgraditve, razopaženjem in vsemi pomožnimi deli za neometane gladke betonske konstrukcije. Upoštevati je treba odprtine v stenah na stikih sten s cevovodi. - </t>
    </r>
    <r>
      <rPr>
        <i/>
        <sz val="10"/>
        <rFont val="Arial"/>
        <family val="2"/>
        <charset val="238"/>
      </rPr>
      <t>Črpališče</t>
    </r>
  </si>
  <si>
    <t>Izkop jarka za kabelsko kanalizacijo v tereu III.ktg, s planiranjem dna; prerez jarka 60x90 cm</t>
  </si>
  <si>
    <t>Izkop jarka za ozemljitev v terenu III.ktg, s planiranjem dna; prerez jarka 40x90 cm. Se izvede po potrebi. Upoštevano 30,0m.</t>
  </si>
  <si>
    <t>Nabava, dobava in vgradnja PVC cevi DN 110 mm za zaščito električnih vodov. Ozemljitveni trak in opozorilni trakovi so upoštevani v elektro načrtih!</t>
  </si>
  <si>
    <t>Nabava, dobava in vgradnja PVC cevi DN 75 mm za zaščito električnih vodov.</t>
  </si>
  <si>
    <t>Nabava, dobava in vgradnja PVC cevi DN 50 mm za zaščito električnih vodov. Ozemljitveni trak in opozorilni trakovi so upoštevani v elektro načrtih!</t>
  </si>
  <si>
    <r>
      <t xml:space="preserve">Dobava in montaža jaška črpališča premera D=1800 mm in višine H=5280 mm, s sidrnimi elementi pri dnu za pritrditev jaška v AB temelj; z odprtinami za tlačni vod in dotočne kanalske cevi. Posoda je izdelana iz materiala, ki zagotavlja vodotesnost in odpornost mehanskim ter kemijskim vplivom (armirani poliester, polietilen, inp.). Vključno s tipskim dnom jaška (kot npr. Flygt TOP 150 L), kot integralni del jaška. Dno jaška je oblikovano s poševninami za preprečevanje nabiranja usedlin na dnu. Oblika dna jaška po navodilih dobavitelja črpalk; izdelano iz enakega materiala kot stene jaška, prazen prostor pod poševninami je zapolnjen z betonom.  </t>
    </r>
    <r>
      <rPr>
        <u/>
        <sz val="10"/>
        <rFont val="Arial"/>
        <family val="2"/>
        <charset val="238"/>
      </rPr>
      <t>Vsi preboji za inštalacije v črpalnem jašku se morajo ustrezno zatesniti, zaplastificirati. Vključno s sidri za sidranje jaška proti vzgonu. Na vrhu črpalnega jaška namestiti gumi tesnila na stiku krovne AB plošče in stene jaška.</t>
    </r>
  </si>
  <si>
    <r>
      <t xml:space="preserve">Dobava in montaža armaturnega jaška premera D=1400 mm in višine H=1480 mm, z odprtinami za tlačni vod. Posoda je izdelana iz materiala, ki zagotavlja vodotesnost in odpornost mehanskim ter kemijskim vplivom (armirani poliester, polietilen, inp.).  </t>
    </r>
    <r>
      <rPr>
        <u/>
        <sz val="10"/>
        <rFont val="Arial"/>
        <family val="2"/>
        <charset val="238"/>
      </rPr>
      <t>Vsi preboji za inštalacije v armaturnem jašku se morajo ustrezno zatesniti, zaplastificirati.  Na vrhu črpalnega jaška namestiti gumi tesnila na stiku krovne AB plošče in stene jaška.</t>
    </r>
  </si>
  <si>
    <t xml:space="preserve">Nabava, dobava in montaža nadstrešnice krmilne elektro omarice črpališča vključno s pritrdilnimi elementi. Tlorisna dimenzija 1700x1100mm. Nosilna konstrukcija iz jeklenih vroče cinkanih cevi 100x100 mm S355 J2H, barvanih z barvo po navodilih upravljalca oz. RAL 7016. Nosilna konstrukcija pokrita z nosilno trapezno pločevino 1800x1200mm. </t>
  </si>
  <si>
    <r>
      <t xml:space="preserve">Nabava, dobava in vgradnja cementnega betona C25/30, XC2, preseka 0,12-0,3 m3/m2 - </t>
    </r>
    <r>
      <rPr>
        <i/>
        <sz val="10"/>
        <rFont val="Arial"/>
        <family val="2"/>
        <charset val="238"/>
      </rPr>
      <t xml:space="preserve">Temeljna plošča črpališča </t>
    </r>
  </si>
  <si>
    <r>
      <t xml:space="preserve">Nabava, dobava in vgradnja cementnega betona C25/30, XC2, preseka 0,12-0,3 m3/m2 - </t>
    </r>
    <r>
      <rPr>
        <i/>
        <sz val="10"/>
        <rFont val="Arial"/>
        <family val="2"/>
        <charset val="238"/>
      </rPr>
      <t xml:space="preserve">Obbetoniranje črpališča </t>
    </r>
  </si>
  <si>
    <r>
      <t xml:space="preserve">Nabava, dobava in vgradnja cementnega betona C30/37, XC4, XF1, PV2, preseka 0,12-0,3 m3/m2 - </t>
    </r>
    <r>
      <rPr>
        <i/>
        <sz val="10"/>
        <rFont val="Arial"/>
        <family val="2"/>
        <charset val="238"/>
      </rPr>
      <t>Krovna plošča črpališča</t>
    </r>
  </si>
  <si>
    <r>
      <t xml:space="preserve">Nabava, dobava in vgradnja cementnega betona C30/37, XC4, XF1, PV2, preseka 0,12-0,3 m3/m2 - </t>
    </r>
    <r>
      <rPr>
        <i/>
        <sz val="10"/>
        <rFont val="Arial"/>
        <family val="2"/>
        <charset val="238"/>
      </rPr>
      <t>Vstopni jašek v črpališče</t>
    </r>
  </si>
  <si>
    <r>
      <t xml:space="preserve">Nabava, dobava in vgradnja cementnega betona C25/30, XC2, PV2, preseka 0,12-0,3 m3/m2 - </t>
    </r>
    <r>
      <rPr>
        <i/>
        <sz val="10"/>
        <rFont val="Arial"/>
        <family val="2"/>
        <charset val="238"/>
      </rPr>
      <t>Krovna plošča armaturnega jaška</t>
    </r>
  </si>
  <si>
    <r>
      <t xml:space="preserve">Nabava, dobava in vgradnja cementnega betona C25/30, XC2, preseka nad 0,3 m3/m2 - </t>
    </r>
    <r>
      <rPr>
        <i/>
        <sz val="10"/>
        <rFont val="Arial"/>
        <family val="2"/>
        <charset val="238"/>
      </rPr>
      <t xml:space="preserve">Temelj in podstavek elektro omaric ter nadstreška </t>
    </r>
  </si>
  <si>
    <r>
      <t xml:space="preserve">Dobava, ravnanje, rezanje, krivljenje, dovoz na gradbišče, polaganje in vezanje armature za AB konstrukcije; Rebrasta
armatura RA 400/500 - </t>
    </r>
    <r>
      <rPr>
        <i/>
        <sz val="10"/>
        <rFont val="Arial"/>
        <family val="2"/>
        <charset val="238"/>
      </rPr>
      <t>Črpališče</t>
    </r>
  </si>
  <si>
    <r>
      <t xml:space="preserve">Dobava, ravnanje, rezanje, krivljenje, dovoz na gradbišče, polaganje in vezanje armature za AB konstrukcije; Mrežna
armatura Q MAG 500/560 - </t>
    </r>
    <r>
      <rPr>
        <i/>
        <sz val="10"/>
        <rFont val="Arial"/>
        <family val="2"/>
        <charset val="238"/>
      </rPr>
      <t>Črpališče</t>
    </r>
  </si>
  <si>
    <r>
      <t xml:space="preserve">Dobava, ravnanje, rezanje, krivljenje, dovoz na gradbišče, polaganje in vezanje armature za AB konstrukcije; Rebrasta
armatura RA 400/500 - </t>
    </r>
    <r>
      <rPr>
        <i/>
        <sz val="10"/>
        <rFont val="Arial"/>
        <family val="2"/>
        <charset val="238"/>
      </rPr>
      <t>Armaturni jašek</t>
    </r>
  </si>
  <si>
    <r>
      <t xml:space="preserve">Dobava, ravnanje, rezanje, krivljenje, dovoz na gradbišče, polaganje in vezanje armature za AB konstrukcije; Mrežna
armatura Q MAG 500/560 - </t>
    </r>
    <r>
      <rPr>
        <i/>
        <sz val="10"/>
        <rFont val="Arial"/>
        <family val="2"/>
        <charset val="238"/>
      </rPr>
      <t>Armaturni jašek</t>
    </r>
  </si>
  <si>
    <r>
      <t xml:space="preserve">Dobava, ravnanje, rezanje, krivljenje, dovoz na gradbišče, polaganje in vezanje armature za AB konstrukcije; Rebrasta
armatura RA 400/500 - </t>
    </r>
    <r>
      <rPr>
        <i/>
        <sz val="10"/>
        <rFont val="Arial"/>
        <family val="2"/>
        <charset val="238"/>
      </rPr>
      <t xml:space="preserve">Temelj in podstavek elektro omaric ter nadstreška </t>
    </r>
  </si>
  <si>
    <r>
      <t xml:space="preserve">Dobava, ravnanje, rezanje, krivljenje, dovoz na gradbišče, polaganje in vezanje armature za AB konstrukcije; Mrežna
armatura Q MAG 500/560 - </t>
    </r>
    <r>
      <rPr>
        <i/>
        <sz val="10"/>
        <rFont val="Arial"/>
        <family val="2"/>
        <charset val="238"/>
      </rPr>
      <t xml:space="preserve">Temelj in podstavek elektro omaric ter nadstreška </t>
    </r>
  </si>
  <si>
    <r>
      <t xml:space="preserve">Izdelava gladkega opaža za AB ploščo, s prenosom materiala do mesta vgradnje, razopaženjem in vesmi pomožnimi deli za neometane gladke bet. konstrukcije; upoštevati je treba odprtine v plošči za vgradno vstopnih jaškov. </t>
    </r>
    <r>
      <rPr>
        <i/>
        <sz val="10"/>
        <rFont val="Arial"/>
        <family val="2"/>
        <charset val="238"/>
      </rPr>
      <t>Črpališče, arm. jašek</t>
    </r>
  </si>
  <si>
    <t>5112</t>
  </si>
  <si>
    <t>Nabava, dobava in vgradnja poliesterskega zunanjega vodomernega jaška ter vgradnja vodomera navodilih pooblaščenega izvajalca.</t>
  </si>
  <si>
    <t>Montaža vodovodne armature in fitingov v vodomernem jašku</t>
  </si>
  <si>
    <t>Univerzalni navrtni zasun za NL DN 100 cev iz vgradno garnituro (h=2,20 m) in cestno kapo ter betonskim podstavkom s priklopom na cev d32; vključno s stroški transporta materiala</t>
  </si>
  <si>
    <t>Vodovodna armatura v jašku: pipa krogelna R1'' - 1 kos, pipa krogelna R1'' z izpustom - 1 kos, zmanjševalni kos R1''-R3/4'' - 2 kosa, vložek nepovratnega ventila - 1 kos, spojka ravna za PE z nav. d32 - 2 kos, nastavljiva spojnica R3/4'' - 2 kos; vključno s stroški transporta materiala</t>
  </si>
  <si>
    <t xml:space="preserve">Obnova kanalizacije iz betonskih cevi DN 500, v globini do 1,5 m, polaganje v betonsko posteljico in obbetoniranje cevi </t>
  </si>
  <si>
    <t>Odriv humusa debeline 30cm minimalno 5m od roba gradbene jame, oziroma odvoz na začasno deponijo izvajalca za kasnejšo uporabo.</t>
  </si>
  <si>
    <t>Nabava, dobava in vgradnja litoželezne črpalke za odpadno vodo in blato s temperaturo do 40°C, pH 5,5 – 14, max. gostota medija 1.100 kg/m3, z vgrajenim 3-faznim IE 4 sinhronskim elektromotorjem z nazivno močjo 2,2 kW pri
800-2.098 obr/min, s predprogramiranimi funkcijami. Sinhronski motor z permanentnimi magneti v rotorju. Direktni zagon pri 400V/50Hz, nazivni tok 4,07 A. Nastavljena moč motorja 950 W. Konstantni navor na gredi črpalke v območju Q-H za zagotovitev minimalne možnosti mašenja rotorja. Programiran motor za samodejno odmašitev (spremba obratov in smeri vrtenja). S termičnimi stikali v navitjih za izklop pri pregretju nad 125°C; v ohišju motorja je tipalo FLS za detekcijo puščanja v motor. V črpalki je 2-lopatični samočistilni N-rotor iz Hard Iron™ (25% Cr) premera 170 mm, ima sesalno odprtino fi 100mm. Črpalka se spusti po vodilih in samodejno sklopi s tlačnim kolenom DN80 za
priključitev na tlačno cev DN80.</t>
  </si>
  <si>
    <t>Črpalka Concertor N80-950, motor N6020.181 MT; 2,2 kW IE4; set power 950W; DN80; HI/HI , 2 kosa</t>
  </si>
  <si>
    <t>Montažni P kpl. (zaklep DN800, tesnilo , vijaki kpl.); 2 kos</t>
  </si>
  <si>
    <t>Tlačno koleno DN80; PN 16 s prirob. po EN1092; 2 kos</t>
  </si>
  <si>
    <t>Veriga 6,3x19,1x8,6 iz AISI 316, nosilnost 500 kg, dolžina 9m; 2 kos</t>
  </si>
  <si>
    <t>Nabava, dobava in montaža kompletnega vodila za dvig črpalke; vodilo sestavljeno iz dveh cevi dimenzije 2", pritrjeno na stojalo črpalke na spodnjem delu in betonsko steno na vhodu v črpališče, material nerjaveče jeklo AISI 316; dolžino vodila 5400mm preveriti na mestu vgradnje; kompletno z vsem priborom in materialom za montažo.</t>
  </si>
  <si>
    <t>tlačni vod FF DN80, L=4100mm; 2 kos</t>
  </si>
  <si>
    <t>FFK-Q kos DN80/90°; 2 kos</t>
  </si>
  <si>
    <t>tlačni vod FF DN80, L=1500mm; 2 kos</t>
  </si>
  <si>
    <t>Nabava, dobava in montaža spojke s prirobnico DN80 za PEHD d110, sidrni spoj (kot npr GF MJ3057)</t>
  </si>
  <si>
    <t>tlačni vod FF DN80, L=500mm; 1 kos</t>
  </si>
  <si>
    <t>tlačni vod E DN80; 1 kos</t>
  </si>
  <si>
    <t>Nabava, dobava in montaža posebnega kosa iz nerjavečega jekla sestavljen iz dveh lokov 90° in T kosa s prirobnicami; Material: AISI 316</t>
  </si>
  <si>
    <t>Nabava, dobava in montaža prirobničnega enosmernega avtomatičnega ventila z mehkim tesnilom za uporabo v horizontalni legi DN 80 - protipovratni ventil s kroglo.</t>
  </si>
  <si>
    <t>Nabava, dobava in montaža prirobničnega mehastega kompenzatorja; DN80.</t>
  </si>
  <si>
    <t>Nabava, dobava in montaža prirobničnega montažno demontažnega kosa; DN80</t>
  </si>
  <si>
    <t>Nabava, dobava in montaža servisnega drsnega zasuna šiber izvedbe s prirobničnimi priključki DIN 2642/EN 1092-2; dimenzijaDN 80</t>
  </si>
  <si>
    <t>7111</t>
  </si>
  <si>
    <t>Dobava in montaža LTŽ kvadratnega pokrova in okvirja - D 400 kN, dimenzij 800x800 mm - nodularna (duktilna) litina EN GJS 500-7, v skladu s SIST EN 124-2-2015, s protihrupnim vložkom (EPDM guma), 3-točkovno naleganje pokrova, snemljiva prečka, vijačena pokrova.</t>
  </si>
  <si>
    <t xml:space="preserve">Dobava in montaža povoznega pokrova na vhodni odprtini črpališča (poz. 7) iz nodularne litine: Pokrov svetlih dimenzij 1500×750mm, izdelan iz nodularne litine EN GJS 500-7, nosilnosti D400 po standardu EN124-2. Odpiranje pokrova je štiri stransko. Okvir iz nodularne litine s T profilom in sidrnimi zatiči. Pokrov z vgrajenimi tečaji in blokiranjem pod kotom 90°. </t>
  </si>
  <si>
    <t>Kompletna izvedba prezračevanja črpalnega jaška: cevi iz PVC cevi DN 110. Skupna dolžina cevi L=3m (mere kontrolirati na terenu!), kolena 90° - 1 kos. Posamezni elementi so med seboj varjeni. Zračnik je na zunanjem delu pokrit z zaščitno kapo (1 kos). Višina zračnika nad končnim terenom H=1,2m. Kompletno z vsemi potrebnimi deli in pritrditvenim materialom.</t>
  </si>
  <si>
    <r>
      <t xml:space="preserve">Vertikalni strojni izkop gradbene jame globine nad 6m, v terenu III. kat. z nakladanjem na kamion - </t>
    </r>
    <r>
      <rPr>
        <i/>
        <sz val="10"/>
        <rFont val="Arial"/>
        <family val="2"/>
        <charset val="238"/>
      </rPr>
      <t>Črpališče</t>
    </r>
    <r>
      <rPr>
        <sz val="10"/>
        <rFont val="Arial"/>
        <family val="2"/>
        <charset val="238"/>
      </rPr>
      <t xml:space="preserve"> in armaturni jašek</t>
    </r>
  </si>
  <si>
    <r>
      <t xml:space="preserve">Nabava, dobava in vgradnja prirobničnega servisnega drsnega zasuna DN 250 šiber izvedbe s snemljivim vretenom </t>
    </r>
    <r>
      <rPr>
        <i/>
        <sz val="10"/>
        <rFont val="Arial"/>
        <family val="2"/>
        <charset val="238"/>
      </rPr>
      <t>(na vtoku v črpališče)</t>
    </r>
    <r>
      <rPr>
        <sz val="10"/>
        <rFont val="Arial"/>
        <family val="2"/>
        <charset val="238"/>
      </rPr>
      <t>.</t>
    </r>
  </si>
  <si>
    <t xml:space="preserve">Dobava  kabla N-A2XY-J 4x70+1,5mm razvijanje kabla, položitev in priklop kabla na obstoječi PSPMO z izvedbo odjemnega mesta v tej PSPMO  z namestitvijo opreme za priklop, namestitev zaščit in oznak in GAL ščitnikov  ter opozorilnega traku </t>
  </si>
  <si>
    <t>Namestitev in uvlečenje kabla z priklopom v novi PSPMO izdelava kabelskega priključka z kabelskimi čevlji in namestitev varovalčnega ločilnika  z NV varovalkami</t>
  </si>
  <si>
    <t>Ozemljitveni trak AISI 316 30x3 mm položen nad dovodni kabel in priključen na ozemljitve pri obstoječi  PSPMO in ozemljila okoli nove PSPMO in črpališča</t>
  </si>
  <si>
    <t>plošča montažna</t>
  </si>
  <si>
    <t>podpora zbiralnic 3 polne integriran 16 mm terminal IEC/EN 60439-1</t>
  </si>
  <si>
    <t>bus sistem z zbiralnicami,ploščati baker brez posnetih robov 30x5 za tokove do 379A z prekritjem golih zbiralk za dva HVL podnožja</t>
  </si>
  <si>
    <t>varovalčni ločilnik HVL 00 z 3x NV 20A za na šine dim.106x200x97</t>
  </si>
  <si>
    <t>varovalčni ločilnik HVL 00 z 3x NV 125A za na šine dim.106x200x97</t>
  </si>
  <si>
    <t>odvodnik prenapetosti Hermi PZH 1 1kV, 50 Hz, 100kA, od -30 do + 80 st. Celzija</t>
  </si>
  <si>
    <t>plošča števčna dim.337x184x14mm</t>
  </si>
  <si>
    <t>direktni univerzalni dvotarifni števec delovne energije LANDIS&amp;GYR ZMF120ACD4, 3x 230/400V 50Hz 5-85A in RCM 1312-3/3</t>
  </si>
  <si>
    <t>vse v soglasju lokalnega elektrodistributerja</t>
  </si>
  <si>
    <t>klp</t>
  </si>
  <si>
    <t>Nova PSKPMO  PMO4 Prebil plast ali (ustrezno podobno) na podstavku pri črpališču z vgrajeno opremo; meritev el.energije, glavnimi varovalkami, odvodniki prenapetosti</t>
  </si>
  <si>
    <t>skupaj poz. 5.</t>
  </si>
  <si>
    <t>Proizvajalec</t>
  </si>
  <si>
    <t>3.4.1.</t>
  </si>
  <si>
    <t>RAZDELILEC Č</t>
  </si>
  <si>
    <t>Razdelilec  dimenzije višine 700x širine 650 in globine 500 narejen z notranjimi in zunanjimi vrati, s ključavnico ,MCC  polja pa ima notranja vrata z vgrajenimi stikali in drugo signalno opremo in zunanja vrata s ključavnico končnega prevzemnika. Razdelilec mora biti primeren za zunanjo namestitev IP 65 na terenu in betonskem podstavku cca 1 m od gotovih tal. Na zgornji strani ima razdelilec nameščen nadstrešek ki mora imeti   robove prilagojene za odkap vode. Na notranjih vratih mora biti predalček za namestitev dokumentov. Celoten razdelilec mora biti izdelan iz nerjaveče pločevine AISI 316 s pridobljenim certifikatom in take debeline pločevine da se samodejno ne krivi in je kompakten, zlasti vrata razdelica. Pod razdelilcem morajo biti v betonskem podstavku nameščene elektro stigmafleks cevi 2x fi 100 c m za dovodni kabel, 4 x fi 50 za črpalki in signalne kable. cevi morajo biti položene do ohišja črpališča do priključnih doz</t>
  </si>
  <si>
    <t xml:space="preserve">termostat </t>
  </si>
  <si>
    <t>grelec z ventilatorjem 300W</t>
  </si>
  <si>
    <t>stropni ventilator</t>
  </si>
  <si>
    <t>kombinacija svetilka 14W+ 1faz.šuko vtičnica z priključnim kompletom</t>
  </si>
  <si>
    <t>predal za dokumnetacijo</t>
  </si>
  <si>
    <t>nosilec kabelskih uvodnic</t>
  </si>
  <si>
    <t>uvodnice  1/47</t>
  </si>
  <si>
    <t>zbiralke  Cu šine 15x3 mm</t>
  </si>
  <si>
    <t xml:space="preserve">Skupaj stikalni blok </t>
  </si>
  <si>
    <t xml:space="preserve">Odmično stikalo 25 A, tripolno 1-2,  z zaščitnim modulom, in montažo  na ploščo,  </t>
  </si>
  <si>
    <t>INSTALACIJSKI ODKLOPNIK</t>
  </si>
  <si>
    <t>1P,6A "B" 15 Ka</t>
  </si>
  <si>
    <t>Krmilni transformator - usmernik 230 VAC/ 24VDC,  5A</t>
  </si>
  <si>
    <t>baterija 24V 3,4 Ah</t>
  </si>
  <si>
    <t xml:space="preserve"> SVETILKA</t>
  </si>
  <si>
    <t>1 preklopni kontakt, vijačna priključitev vodnikov, 230VAC, bela (ohišje SE-02-616.011, okvir SE-02-966.0, leča SE-02-901.9, žarnica SE-1012201179, predupor SE-02-904.7)</t>
  </si>
  <si>
    <t>VRSTNE SPONKE  s priborom</t>
  </si>
  <si>
    <t>WDU 4</t>
  </si>
  <si>
    <t>WDU 6</t>
  </si>
  <si>
    <t>Vrstna sponka z varovalko 5x20mm,1A,24VDC:ASK 1/35LD</t>
  </si>
  <si>
    <t>Instalacijski kanal IKP 40x60</t>
  </si>
  <si>
    <t>Instalacijski kanal IKP 100x80</t>
  </si>
  <si>
    <t>Letev 35</t>
  </si>
  <si>
    <t>vse napisne ploščice morajo biti na al. ali PVC podlagi in gravirane</t>
  </si>
  <si>
    <t>napisne ploščice 80x30mm</t>
  </si>
  <si>
    <t>ČRPALKA 1</t>
  </si>
  <si>
    <t>ČRPALKA 2</t>
  </si>
  <si>
    <t>Kvitiranje napake</t>
  </si>
  <si>
    <t>Napisne ploščice 60x 20mm</t>
  </si>
  <si>
    <t>1Ročno -2 Automatsko</t>
  </si>
  <si>
    <t>Glavno stikalo</t>
  </si>
  <si>
    <t xml:space="preserve">Napisne ploščice </t>
  </si>
  <si>
    <t>101S3/1 start , 104S3/1 start</t>
  </si>
  <si>
    <t>101S3/2 stop , 104S3/2  stop</t>
  </si>
  <si>
    <t>Napaka</t>
  </si>
  <si>
    <t>napisna ploščica z karakterističnimi podatki stikalnega bloka, napetost, sistem instalacije, kratkostični tok, tip in presek dovodnega kabla, varovalke na priključnem mestu, IP zaščita</t>
  </si>
  <si>
    <t>priklopi vseh signalov črpalk in zaščitnih motorskih relejev proizvajalca, ki so vgrajeni v črpalkah</t>
  </si>
  <si>
    <t>Skupaj 3.4.1</t>
  </si>
  <si>
    <t>3.4.2.</t>
  </si>
  <si>
    <t>KRMILNI modem delovanja črpalke Č1 in Č2</t>
  </si>
  <si>
    <t>v sestavi:</t>
  </si>
  <si>
    <t>Controller XPC APP 411 z dobavo, namestitvijo, priključevanjem močnostnih in signalno krmilnih kablov in zagonom do funkcionalnem delovanju črpališča</t>
  </si>
  <si>
    <t>DP Controller Gateway DP 414 z dobavo, namestitvijo, priključevanjem močnostnih in signalno krmilnih kablov in zagonom do funkcionalnem delovanju črpališča</t>
  </si>
  <si>
    <t>Concertor HDMI 7 barvni zaslon na dotik FOP 402 z dobavo, namestitvijo, kalibriranjem in zagonom do funkcionalega delovanja.</t>
  </si>
  <si>
    <t xml:space="preserve">GSM Modul  S8VM Cinterion ELS61T-E2-LAN -z napajalnikom in zunanjo anteno in pripadajočim kablom dolžine 10m </t>
  </si>
  <si>
    <t xml:space="preserve">Ethernet swich Advantech EKI 2525AE </t>
  </si>
  <si>
    <t>Modem Cinterion ELS61-T-LAN</t>
  </si>
  <si>
    <t>vrstne sponke z varovalko 5x20mm 1A 230V</t>
  </si>
  <si>
    <t>vrstne sponke z varovalko 5x20mm 1A 24VDC</t>
  </si>
  <si>
    <t>vrstne sponke 4mm</t>
  </si>
  <si>
    <t>instalacijski kanal 40x80</t>
  </si>
  <si>
    <t>instalacijski kanal 80x80</t>
  </si>
  <si>
    <t>zbiralke N,PE,N/UPS, L-</t>
  </si>
  <si>
    <t xml:space="preserve">Skupaj 3.4.2 </t>
  </si>
  <si>
    <t>3.4.3.</t>
  </si>
  <si>
    <t>M&amp;R oprema - material in namestitve</t>
  </si>
  <si>
    <t>Nivojsko stikalo  , tlačni senzor 4-20 mA LTU 601 z nosilno konstrukcijo in montažo v črpališču in priklopom do funkcionalega delovanja.</t>
  </si>
  <si>
    <t>Nivojsko stikalo v zaščiti IP67 z montažnim in pritrdilnim materialom</t>
  </si>
  <si>
    <t>Priklopi, nastavitve in kalibriranje merilnikov  do funkcionalnega delovanja</t>
  </si>
  <si>
    <t xml:space="preserve">Kablaža in priklopi tipske omare, z močnostnimi in signalnimi kabli do funkcionalnega delovanja </t>
  </si>
  <si>
    <t>Skupaj 3.4.3</t>
  </si>
  <si>
    <t>3.4.4.</t>
  </si>
  <si>
    <t>Dovodni kabel in cevi za el.kable z ozemljitvijo</t>
  </si>
  <si>
    <t>Naziv, tip, oznaka</t>
  </si>
  <si>
    <t>Dovodni kabel med PSPMO in MCC črpališča tip Nycy-J 4 x 10 +1,5 mm z napisnim trakom GAL ščitniki, ozemljitvenim trakom in nadzemnimi oznakami trase (gradbena dela  in polaganje kabelske kanalizacije za uvleko dovodnega kabla so v gradbenem delu načrta) Izvajalec elektrodel na črpališču se mora dogovoriti s predstavnikom elektrodistributerja za začasni odklop odjemnega mesta vPSPMO zaradi priklopa  dovodnega el.kabla za potrebe črpališča. Upoštevati mora tudi vsa gradbena dela (izkopi in zasutja ) na trasi dovodnega kabla. Po končanem polaganju novega kabla mora nad kabel položiti ozemljitveni trak in označitveni trak in traso vrisati v priloženo situacijo, zaradi izdelave PID načrtov.</t>
  </si>
  <si>
    <t>Ozemljitveni trak AISI 316, 30 x3,5 mm položen med PSPMO  nad dovodnim kablom do črpališča,in okoli razdelilca in črpalnega jaška ,  in  spojen na vsa bližja  obstoječa ozemljila</t>
  </si>
  <si>
    <t>PVC označitveni trak za kable</t>
  </si>
  <si>
    <t xml:space="preserve">PVC rebraste gibljive cevi fi 110  položene v podstavek MCC in do PSPMO  </t>
  </si>
  <si>
    <t>PVC rebraste gibljive cevi 4 x  fi  50 za položitev kablov med   MCC  črpališča in do črpalnega jaška do priključnih el.doz</t>
  </si>
  <si>
    <t>Skupaj 3.4.4</t>
  </si>
  <si>
    <t>3.4.5.</t>
  </si>
  <si>
    <t xml:space="preserve">Elektromaterial in oprema </t>
  </si>
  <si>
    <t>P/F rumeno zelena 6mm</t>
  </si>
  <si>
    <t>instalacijska priključno razvodna doza N/O IP67</t>
  </si>
  <si>
    <t>LiYCY 2x2x0,75</t>
  </si>
  <si>
    <t xml:space="preserve">NYY -J 4x1,5 mm  </t>
  </si>
  <si>
    <t>NYY -J  5X1,5mm</t>
  </si>
  <si>
    <t>NYY -J  3X1,5mm</t>
  </si>
  <si>
    <t>PF rumeno zelena žica za povezavo kovinskih mas fi 10mm</t>
  </si>
  <si>
    <t>Priklop enofaznih porabnikov</t>
  </si>
  <si>
    <t>priklop trofaznih porabnikov</t>
  </si>
  <si>
    <t xml:space="preserve">priklop specialnih porabnikov </t>
  </si>
  <si>
    <t>skupaj 3.4.5</t>
  </si>
  <si>
    <t>3.4.6.</t>
  </si>
  <si>
    <t>Vodovni material in elektromaterial</t>
  </si>
  <si>
    <t>Izvedba izenačitve potencialov stikalnih blokov, se izdela z PE zbiralko na katero se priključi zemljovod (valjanec AISI 316 30x5 mm), od tu se položi P/F –Y  1x16mm2.</t>
  </si>
  <si>
    <t>Na zbiralko za povezavo kovinskih mas se priključi;</t>
  </si>
  <si>
    <t>-ohišja stikalnih blokov</t>
  </si>
  <si>
    <t>-cevovodi</t>
  </si>
  <si>
    <t>-vsi drugi kovinski deli v objektu</t>
  </si>
  <si>
    <t>ozemljitveni trak AISI 316 30x 3,5mm (za ozemljitev črpališča  )</t>
  </si>
  <si>
    <t>križne sponke</t>
  </si>
  <si>
    <t>izvedba strelovodne instalacije na antenskem drogu</t>
  </si>
  <si>
    <t xml:space="preserve">Skupaj 3.4.6 </t>
  </si>
  <si>
    <t>3.4.7.</t>
  </si>
  <si>
    <t>Osnovne nastavitve programske krmilne logike, preko panela in nastavitve modema Cinterion (ocena)</t>
  </si>
  <si>
    <t>prikaz procesa na CNS v grafični obliki, kreiranje zgodovinskih podatkov za dobo 6 mesecev, prikaz podatkov v obliki trend diagramov, izpis vseh sprememb in posegov med delovanjem in izdelava PID dokumentacije</t>
  </si>
  <si>
    <t>Skupaj 3.4.7</t>
  </si>
  <si>
    <t>3.4.8.</t>
  </si>
  <si>
    <t>Izdelava meritev,preiskusov in protokolov in izdelava PID načrtov z zagonom in predajo objekta investitorju.</t>
  </si>
  <si>
    <t>3.4.9.</t>
  </si>
  <si>
    <t>Nadzor pri izgradnji</t>
  </si>
  <si>
    <t>OKVIRNA REKAPITULACIJA STROŠKOV</t>
  </si>
  <si>
    <t>EL.RAZDELILEC</t>
  </si>
  <si>
    <t>KRMILNE naprave</t>
  </si>
  <si>
    <t>MERILNA OPREMA</t>
  </si>
  <si>
    <t>DOVODNI KABLI</t>
  </si>
  <si>
    <t>ELEKTROMATERIAL IN OPREMA</t>
  </si>
  <si>
    <t>VODOVNI MATERIAL</t>
  </si>
  <si>
    <t>PROGRAMSKA OPREMA</t>
  </si>
  <si>
    <t>MERITVE IN PID NAČRTI</t>
  </si>
  <si>
    <t>NADZOR PRI GRADNJI</t>
  </si>
  <si>
    <t>VSA VGRAJENA OPREMA MORA BITI USKLAJENA Z PREDSTAVNIKI KONČNEGA PREVZEMNIKA OBJEKTA !!</t>
  </si>
  <si>
    <r>
      <t>Motorsko zaščitno stikalo PKZ2ZM od 2do 12A kompaktne izvedbe , za moč motorja</t>
    </r>
    <r>
      <rPr>
        <sz val="10"/>
        <color indexed="10"/>
        <rFont val="Arial"/>
        <family val="2"/>
        <charset val="238"/>
      </rPr>
      <t xml:space="preserve"> </t>
    </r>
    <r>
      <rPr>
        <sz val="10"/>
        <rFont val="Arial"/>
        <family val="2"/>
        <charset val="238"/>
      </rPr>
      <t xml:space="preserve">2,2 </t>
    </r>
    <r>
      <rPr>
        <sz val="10"/>
        <color indexed="8"/>
        <rFont val="Arial"/>
        <family val="2"/>
        <charset val="238"/>
      </rPr>
      <t>kW</t>
    </r>
    <r>
      <rPr>
        <sz val="10"/>
        <color indexed="10"/>
        <rFont val="Arial"/>
        <family val="2"/>
        <charset val="238"/>
      </rPr>
      <t xml:space="preserve"> </t>
    </r>
    <r>
      <rPr>
        <sz val="10"/>
        <rFont val="Arial"/>
        <family val="2"/>
        <charset val="238"/>
      </rPr>
      <t xml:space="preserve"> , signalizacijo izpada pretokovne zaščite, signalizacijo kratkostične zaščite, signalizacijo TRIP položaja,in napisno tablico</t>
    </r>
  </si>
  <si>
    <t>OPOZORILO: Pred nabavo opreme elektro razdelilca se mora elektro izvajalec del obvezno glede opreme uskladiti s predstavnikom VoKa Snaga Ljubljana kot končnim prevzemnikom črpališča.</t>
  </si>
  <si>
    <t>1405-3-K/09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</si>
</sst>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 _S_I_T_-;\-* #,##0.00\ _S_I_T_-;_-* \-??\ _S_I_T_-;_-@_-"/>
    <numFmt numFmtId="165" formatCode="d/m/yyyy"/>
    <numFmt numFmtId="166" formatCode="#,##0.00&quot; €&quot;"/>
    <numFmt numFmtId="167" formatCode="#,##0.00&quot; SIT&quot;"/>
    <numFmt numFmtId="168" formatCode="#,##0.00&quot; m&quot;"/>
    <numFmt numFmtId="169" formatCode="0.0"/>
    <numFmt numFmtId="170" formatCode="_-* #,##0.00\ _S_I_T_-;\-* #,##0.00\ _S_I_T_-;_-* &quot;-&quot;??\ _S_I_T_-;_-@_-"/>
    <numFmt numFmtId="171" formatCode="#,##0.00_ ;\-#,##0.00\ "/>
  </numFmts>
  <fonts count="38" x14ac:knownFonts="1">
    <font>
      <sz val="10"/>
      <name val="Times New Roman"/>
      <charset val="238"/>
    </font>
    <font>
      <sz val="10"/>
      <name val="Arial"/>
      <charset val="238"/>
    </font>
    <font>
      <sz val="10"/>
      <name val="Arial CE"/>
      <charset val="238"/>
    </font>
    <font>
      <sz val="10"/>
      <name val="Arial"/>
      <family val="2"/>
      <charset val="1"/>
    </font>
    <font>
      <sz val="11"/>
      <color rgb="FF000000"/>
      <name val="Calibri"/>
      <family val="2"/>
      <charset val="238"/>
    </font>
    <font>
      <sz val="10"/>
      <name val="Times New Roman CE"/>
      <charset val="238"/>
    </font>
    <font>
      <i/>
      <sz val="8"/>
      <name val="Times New Roman CE"/>
      <family val="1"/>
      <charset val="238"/>
    </font>
    <font>
      <sz val="8"/>
      <name val="Times New Roman CE"/>
      <family val="1"/>
      <charset val="238"/>
    </font>
    <font>
      <sz val="10"/>
      <name val="Arial"/>
      <family val="2"/>
      <charset val="238"/>
    </font>
    <font>
      <sz val="10"/>
      <name val="Times New Roman CE"/>
      <family val="1"/>
      <charset val="238"/>
    </font>
    <font>
      <sz val="11"/>
      <name val="Calibri"/>
      <family val="2"/>
      <charset val="238"/>
    </font>
    <font>
      <b/>
      <sz val="10"/>
      <name val="Arial"/>
      <family val="2"/>
      <charset val="238"/>
    </font>
    <font>
      <b/>
      <sz val="12"/>
      <name val="Arial"/>
      <family val="2"/>
      <charset val="238"/>
    </font>
    <font>
      <b/>
      <sz val="10"/>
      <color rgb="FFFF0000"/>
      <name val="Arial"/>
      <family val="2"/>
      <charset val="238"/>
    </font>
    <font>
      <sz val="10"/>
      <color rgb="FFFF0000"/>
      <name val="Arial"/>
      <family val="2"/>
      <charset val="238"/>
    </font>
    <font>
      <b/>
      <sz val="10"/>
      <name val="Times New Roman CE"/>
      <family val="1"/>
      <charset val="238"/>
    </font>
    <font>
      <b/>
      <sz val="10"/>
      <color rgb="FF808080"/>
      <name val="Times New Roman CE"/>
      <family val="1"/>
      <charset val="238"/>
    </font>
    <font>
      <i/>
      <sz val="8"/>
      <name val="Arial"/>
      <family val="2"/>
      <charset val="238"/>
    </font>
    <font>
      <sz val="10"/>
      <color rgb="FF808080"/>
      <name val="Times New Roman CE"/>
      <family val="1"/>
      <charset val="238"/>
    </font>
    <font>
      <sz val="8"/>
      <name val="Arial"/>
      <family val="2"/>
      <charset val="238"/>
    </font>
    <font>
      <i/>
      <sz val="10"/>
      <name val="Arial"/>
      <family val="2"/>
      <charset val="238"/>
    </font>
    <font>
      <i/>
      <sz val="10"/>
      <name val="Times New Roman CE"/>
      <family val="1"/>
      <charset val="238"/>
    </font>
    <font>
      <i/>
      <sz val="11"/>
      <name val="Times New Roman CE"/>
      <family val="1"/>
      <charset val="238"/>
    </font>
    <font>
      <sz val="11"/>
      <name val="Times New Roman CE"/>
      <family val="1"/>
      <charset val="238"/>
    </font>
    <font>
      <b/>
      <sz val="8"/>
      <name val="Times New Roman CE"/>
      <family val="1"/>
      <charset val="238"/>
    </font>
    <font>
      <b/>
      <sz val="11"/>
      <name val="Times New Roman CE"/>
      <family val="1"/>
      <charset val="238"/>
    </font>
    <font>
      <sz val="10"/>
      <name val="Arial CE"/>
      <family val="2"/>
      <charset val="238"/>
    </font>
    <font>
      <sz val="10"/>
      <color rgb="FF000000"/>
      <name val="Arial"/>
      <family val="2"/>
      <charset val="238"/>
    </font>
    <font>
      <u/>
      <sz val="10"/>
      <name val="Arial"/>
      <family val="2"/>
      <charset val="238"/>
    </font>
    <font>
      <sz val="10"/>
      <name val="Times New Roman"/>
      <family val="1"/>
      <charset val="238"/>
    </font>
    <font>
      <b/>
      <sz val="10"/>
      <color rgb="FF000000"/>
      <name val="Arial"/>
      <family val="2"/>
      <charset val="238"/>
    </font>
    <font>
      <b/>
      <u/>
      <sz val="10"/>
      <color rgb="FF000000"/>
      <name val="Arial"/>
      <family val="2"/>
      <charset val="238"/>
    </font>
    <font>
      <sz val="10"/>
      <name val="Times New Roman"/>
      <charset val="238"/>
    </font>
    <font>
      <sz val="8"/>
      <name val="Times New Roman"/>
      <family val="1"/>
      <charset val="238"/>
    </font>
    <font>
      <sz val="10"/>
      <color rgb="FF0070C0"/>
      <name val="Arial"/>
      <family val="2"/>
      <charset val="238"/>
    </font>
    <font>
      <b/>
      <sz val="10"/>
      <color rgb="FF0070C0"/>
      <name val="Arial"/>
      <family val="2"/>
      <charset val="238"/>
    </font>
    <font>
      <sz val="10"/>
      <color indexed="10"/>
      <name val="Arial"/>
      <family val="2"/>
      <charset val="238"/>
    </font>
    <font>
      <sz val="10"/>
      <color indexed="8"/>
      <name val="Arial"/>
      <family val="2"/>
      <charset val="238"/>
    </font>
  </fonts>
  <fills count="3">
    <fill>
      <patternFill patternType="none"/>
    </fill>
    <fill>
      <patternFill patternType="gray125"/>
    </fill>
    <fill>
      <patternFill patternType="solid">
        <fgColor rgb="FFEBF1DE"/>
        <bgColor rgb="FFFDEADA"/>
      </patternFill>
    </fill>
  </fills>
  <borders count="12">
    <border>
      <left/>
      <right/>
      <top/>
      <bottom/>
      <diagonal/>
    </border>
    <border>
      <left style="thin">
        <color auto="1"/>
      </left>
      <right style="thin">
        <color auto="1"/>
      </right>
      <top style="thin">
        <color auto="1"/>
      </top>
      <bottom style="thin">
        <color auto="1"/>
      </bottom>
      <diagonal/>
    </border>
    <border>
      <left/>
      <right/>
      <top/>
      <bottom style="dotted">
        <color rgb="FF808080"/>
      </bottom>
      <diagonal/>
    </border>
    <border>
      <left/>
      <right/>
      <top/>
      <bottom style="thin">
        <color auto="1"/>
      </bottom>
      <diagonal/>
    </border>
    <border>
      <left/>
      <right/>
      <top/>
      <bottom style="double">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top/>
      <bottom/>
      <diagonal/>
    </border>
    <border>
      <left style="thin">
        <color auto="1"/>
      </left>
      <right style="thin">
        <color auto="1"/>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s>
  <cellStyleXfs count="9">
    <xf numFmtId="0" fontId="0" fillId="0" borderId="0"/>
    <xf numFmtId="164" fontId="32" fillId="0" borderId="0" applyBorder="0" applyProtection="0"/>
    <xf numFmtId="9" fontId="1" fillId="0" borderId="0" applyBorder="0" applyAlignment="0" applyProtection="0"/>
    <xf numFmtId="0" fontId="2" fillId="0" borderId="0"/>
    <xf numFmtId="0" fontId="3" fillId="0" borderId="0"/>
    <xf numFmtId="0" fontId="3" fillId="0" borderId="0"/>
    <xf numFmtId="0" fontId="4" fillId="0" borderId="0"/>
    <xf numFmtId="0" fontId="5" fillId="0" borderId="0"/>
    <xf numFmtId="0" fontId="29" fillId="0" borderId="0"/>
  </cellStyleXfs>
  <cellXfs count="338">
    <xf numFmtId="0" fontId="0" fillId="0" borderId="0" xfId="0"/>
    <xf numFmtId="3" fontId="6" fillId="0" borderId="0" xfId="0" applyNumberFormat="1" applyFont="1" applyBorder="1" applyAlignment="1">
      <alignment horizontal="right" vertical="top"/>
    </xf>
    <xf numFmtId="49" fontId="7" fillId="0" borderId="0" xfId="0" applyNumberFormat="1" applyFont="1" applyBorder="1" applyAlignment="1">
      <alignment horizontal="justify" vertical="top"/>
    </xf>
    <xf numFmtId="0" fontId="7" fillId="0" borderId="0" xfId="0" applyFont="1" applyBorder="1" applyAlignment="1">
      <alignment horizontal="justify" vertical="top"/>
    </xf>
    <xf numFmtId="0" fontId="7" fillId="0" borderId="0" xfId="0" applyFont="1" applyBorder="1" applyAlignment="1">
      <alignment horizontal="justify"/>
    </xf>
    <xf numFmtId="0" fontId="8" fillId="0" borderId="0" xfId="5" applyFont="1"/>
    <xf numFmtId="4" fontId="8" fillId="0" borderId="0" xfId="5" applyNumberFormat="1" applyFont="1" applyAlignment="1"/>
    <xf numFmtId="0" fontId="9" fillId="0" borderId="0" xfId="5" applyFont="1"/>
    <xf numFmtId="4" fontId="11" fillId="0" borderId="0" xfId="5" applyNumberFormat="1" applyFont="1" applyAlignment="1"/>
    <xf numFmtId="0" fontId="9" fillId="0" borderId="0" xfId="4" applyFont="1" applyProtection="1">
      <protection locked="0"/>
    </xf>
    <xf numFmtId="4" fontId="8" fillId="0" borderId="0" xfId="4" applyNumberFormat="1" applyFont="1" applyAlignment="1" applyProtection="1">
      <alignment horizontal="left"/>
    </xf>
    <xf numFmtId="4" fontId="12" fillId="0" borderId="0" xfId="5" applyNumberFormat="1" applyFont="1" applyAlignment="1"/>
    <xf numFmtId="49" fontId="8" fillId="0" borderId="0" xfId="4" applyNumberFormat="1" applyFont="1" applyAlignment="1" applyProtection="1">
      <alignment vertical="top"/>
    </xf>
    <xf numFmtId="4" fontId="8" fillId="0" borderId="0" xfId="4" applyNumberFormat="1" applyFont="1" applyAlignment="1" applyProtection="1">
      <alignment horizontal="center" vertical="top"/>
    </xf>
    <xf numFmtId="0" fontId="8" fillId="0" borderId="0" xfId="0" applyFont="1" applyAlignment="1" applyProtection="1">
      <alignment horizontal="left"/>
      <protection locked="0"/>
    </xf>
    <xf numFmtId="4" fontId="8" fillId="0" borderId="0" xfId="1" applyNumberFormat="1" applyFont="1" applyBorder="1" applyAlignment="1" applyProtection="1">
      <alignment horizontal="left" vertical="top"/>
    </xf>
    <xf numFmtId="4" fontId="8" fillId="0" borderId="0" xfId="4" applyNumberFormat="1" applyFont="1" applyAlignment="1" applyProtection="1">
      <alignment horizontal="left" vertical="top"/>
    </xf>
    <xf numFmtId="0" fontId="8" fillId="0" borderId="0" xfId="4" applyFont="1" applyProtection="1">
      <protection locked="0"/>
    </xf>
    <xf numFmtId="4" fontId="8" fillId="0" borderId="0" xfId="4" applyNumberFormat="1" applyFont="1" applyAlignment="1" applyProtection="1">
      <alignment vertical="top"/>
      <protection locked="0"/>
    </xf>
    <xf numFmtId="0" fontId="8" fillId="0" borderId="0" xfId="0" applyFont="1"/>
    <xf numFmtId="4" fontId="8" fillId="0" borderId="0" xfId="4" applyNumberFormat="1" applyFont="1" applyAlignment="1" applyProtection="1">
      <alignment vertical="top"/>
    </xf>
    <xf numFmtId="0" fontId="11" fillId="0" borderId="0" xfId="0" applyFont="1"/>
    <xf numFmtId="4" fontId="8" fillId="0" borderId="0" xfId="1" applyNumberFormat="1" applyFont="1" applyBorder="1" applyAlignment="1" applyProtection="1">
      <alignment horizontal="left" vertical="top" wrapText="1"/>
    </xf>
    <xf numFmtId="0" fontId="8" fillId="0" borderId="0" xfId="4" applyFont="1" applyProtection="1"/>
    <xf numFmtId="4" fontId="8" fillId="0" borderId="0" xfId="4" applyNumberFormat="1" applyFont="1" applyAlignment="1" applyProtection="1">
      <alignment horizontal="right" vertical="top"/>
    </xf>
    <xf numFmtId="4" fontId="8" fillId="0" borderId="0" xfId="1" applyNumberFormat="1" applyFont="1" applyBorder="1" applyAlignment="1" applyProtection="1">
      <alignment horizontal="left" vertical="top"/>
      <protection locked="0"/>
    </xf>
    <xf numFmtId="0" fontId="10" fillId="0" borderId="0" xfId="0" applyFont="1" applyAlignment="1">
      <alignment horizontal="justify" vertical="top"/>
    </xf>
    <xf numFmtId="165" fontId="8" fillId="0" borderId="0" xfId="0" applyNumberFormat="1" applyFont="1" applyAlignment="1">
      <alignment horizontal="left"/>
    </xf>
    <xf numFmtId="4" fontId="8" fillId="0" borderId="0" xfId="4" applyNumberFormat="1" applyFont="1" applyAlignment="1" applyProtection="1"/>
    <xf numFmtId="4" fontId="11" fillId="0" borderId="0" xfId="4" applyNumberFormat="1" applyFont="1" applyAlignment="1" applyProtection="1"/>
    <xf numFmtId="0" fontId="9" fillId="0" borderId="0" xfId="4" applyFont="1" applyAlignment="1" applyProtection="1">
      <protection locked="0"/>
    </xf>
    <xf numFmtId="49" fontId="11" fillId="0" borderId="0" xfId="4" applyNumberFormat="1" applyFont="1" applyAlignment="1" applyProtection="1"/>
    <xf numFmtId="0" fontId="11" fillId="0" borderId="0" xfId="4" applyFont="1" applyAlignment="1" applyProtection="1">
      <protection locked="0"/>
    </xf>
    <xf numFmtId="166" fontId="8" fillId="0" borderId="2" xfId="4" applyNumberFormat="1" applyFont="1" applyBorder="1" applyAlignment="1" applyProtection="1"/>
    <xf numFmtId="49" fontId="11" fillId="0" borderId="0" xfId="0" applyNumberFormat="1" applyFont="1" applyAlignment="1"/>
    <xf numFmtId="4" fontId="11" fillId="0" borderId="0" xfId="1" applyNumberFormat="1" applyFont="1" applyBorder="1" applyAlignment="1" applyProtection="1">
      <alignment horizontal="left"/>
      <protection locked="0"/>
    </xf>
    <xf numFmtId="49" fontId="13" fillId="0" borderId="0" xfId="0" applyNumberFormat="1" applyFont="1" applyAlignment="1"/>
    <xf numFmtId="4" fontId="8" fillId="0" borderId="0" xfId="1" applyNumberFormat="1" applyFont="1" applyBorder="1" applyAlignment="1" applyProtection="1">
      <alignment horizontal="left"/>
      <protection locked="0"/>
    </xf>
    <xf numFmtId="166" fontId="14" fillId="0" borderId="0" xfId="4" applyNumberFormat="1" applyFont="1" applyBorder="1" applyAlignment="1" applyProtection="1"/>
    <xf numFmtId="166" fontId="8" fillId="0" borderId="0" xfId="4" applyNumberFormat="1" applyFont="1" applyBorder="1" applyAlignment="1" applyProtection="1"/>
    <xf numFmtId="49" fontId="11" fillId="0" borderId="3" xfId="0" applyNumberFormat="1" applyFont="1" applyBorder="1" applyAlignment="1"/>
    <xf numFmtId="4" fontId="11" fillId="0" borderId="3" xfId="1" applyNumberFormat="1" applyFont="1" applyBorder="1" applyAlignment="1" applyProtection="1">
      <alignment horizontal="left"/>
      <protection locked="0"/>
    </xf>
    <xf numFmtId="0" fontId="9" fillId="0" borderId="3" xfId="4" applyFont="1" applyBorder="1" applyProtection="1">
      <protection locked="0"/>
    </xf>
    <xf numFmtId="166" fontId="8" fillId="0" borderId="3" xfId="4" applyNumberFormat="1" applyFont="1" applyBorder="1" applyAlignment="1" applyProtection="1"/>
    <xf numFmtId="4" fontId="14" fillId="0" borderId="0" xfId="4" applyNumberFormat="1" applyFont="1" applyAlignment="1" applyProtection="1"/>
    <xf numFmtId="167" fontId="14" fillId="0" borderId="0" xfId="4" applyNumberFormat="1" applyFont="1" applyBorder="1" applyAlignment="1" applyProtection="1"/>
    <xf numFmtId="4" fontId="15" fillId="0" borderId="0" xfId="4" applyNumberFormat="1" applyFont="1" applyAlignment="1" applyProtection="1">
      <alignment horizontal="center" vertical="top"/>
    </xf>
    <xf numFmtId="4" fontId="15" fillId="0" borderId="0" xfId="4" applyNumberFormat="1" applyFont="1" applyAlignment="1" applyProtection="1">
      <alignment horizontal="left" vertical="top"/>
    </xf>
    <xf numFmtId="4" fontId="9" fillId="0" borderId="0" xfId="4" applyNumberFormat="1" applyFont="1" applyProtection="1">
      <protection locked="0"/>
    </xf>
    <xf numFmtId="4" fontId="9" fillId="0" borderId="0" xfId="4" applyNumberFormat="1" applyFont="1" applyAlignment="1" applyProtection="1">
      <alignment vertical="top"/>
    </xf>
    <xf numFmtId="167" fontId="8" fillId="0" borderId="0" xfId="4" applyNumberFormat="1" applyFont="1" applyBorder="1" applyAlignment="1" applyProtection="1"/>
    <xf numFmtId="0" fontId="9" fillId="0" borderId="0" xfId="0" applyFont="1"/>
    <xf numFmtId="4" fontId="9" fillId="0" borderId="0" xfId="4" applyNumberFormat="1" applyFont="1" applyAlignment="1" applyProtection="1"/>
    <xf numFmtId="4" fontId="8" fillId="0" borderId="4" xfId="4" applyNumberFormat="1" applyFont="1" applyBorder="1" applyAlignment="1" applyProtection="1"/>
    <xf numFmtId="0" fontId="7" fillId="0" borderId="4" xfId="0" applyFont="1" applyBorder="1" applyAlignment="1">
      <alignment horizontal="justify" vertical="top"/>
    </xf>
    <xf numFmtId="4" fontId="8" fillId="0" borderId="4" xfId="4" applyNumberFormat="1" applyFont="1" applyBorder="1" applyAlignment="1" applyProtection="1">
      <alignment horizontal="left"/>
    </xf>
    <xf numFmtId="4" fontId="8" fillId="0" borderId="0" xfId="4" applyNumberFormat="1" applyFont="1" applyBorder="1" applyAlignment="1" applyProtection="1">
      <alignment horizontal="left"/>
    </xf>
    <xf numFmtId="4" fontId="11" fillId="0" borderId="0" xfId="1" applyNumberFormat="1" applyFont="1" applyBorder="1" applyAlignment="1" applyProtection="1">
      <alignment horizontal="left"/>
    </xf>
    <xf numFmtId="166" fontId="11" fillId="0" borderId="2" xfId="4" applyNumberFormat="1" applyFont="1" applyBorder="1" applyAlignment="1" applyProtection="1"/>
    <xf numFmtId="0" fontId="15" fillId="0" borderId="0" xfId="0" applyFont="1"/>
    <xf numFmtId="4" fontId="8" fillId="0" borderId="4" xfId="4" applyNumberFormat="1" applyFont="1" applyBorder="1" applyAlignment="1" applyProtection="1">
      <alignment vertical="top"/>
    </xf>
    <xf numFmtId="4" fontId="16" fillId="0" borderId="0" xfId="4" applyNumberFormat="1" applyFont="1" applyAlignment="1" applyProtection="1">
      <alignment horizontal="center" vertical="top"/>
    </xf>
    <xf numFmtId="3" fontId="17" fillId="0" borderId="0" xfId="0" applyNumberFormat="1" applyFont="1" applyBorder="1" applyAlignment="1">
      <alignment horizontal="right" vertical="top"/>
    </xf>
    <xf numFmtId="4" fontId="14" fillId="0" borderId="0" xfId="4" applyNumberFormat="1" applyFont="1" applyAlignment="1" applyProtection="1">
      <alignment vertical="top"/>
    </xf>
    <xf numFmtId="4" fontId="14" fillId="0" borderId="0" xfId="4" applyNumberFormat="1" applyFont="1" applyAlignment="1" applyProtection="1">
      <alignment horizontal="left"/>
    </xf>
    <xf numFmtId="0" fontId="18" fillId="0" borderId="0" xfId="0" applyFont="1"/>
    <xf numFmtId="4" fontId="16" fillId="0" borderId="0" xfId="4" applyNumberFormat="1" applyFont="1" applyAlignment="1" applyProtection="1">
      <alignment horizontal="left" vertical="top" wrapText="1"/>
    </xf>
    <xf numFmtId="49" fontId="19" fillId="0" borderId="0" xfId="0" applyNumberFormat="1" applyFont="1" applyBorder="1" applyAlignment="1">
      <alignment horizontal="justify" vertical="top"/>
    </xf>
    <xf numFmtId="0" fontId="19" fillId="0" borderId="0" xfId="0" applyFont="1" applyBorder="1" applyAlignment="1">
      <alignment horizontal="justify" vertical="top"/>
    </xf>
    <xf numFmtId="0" fontId="19" fillId="0" borderId="0" xfId="0" applyFont="1" applyBorder="1" applyAlignment="1" applyProtection="1">
      <alignment horizontal="left" vertical="top" wrapText="1"/>
      <protection locked="0"/>
    </xf>
    <xf numFmtId="3" fontId="17" fillId="0" borderId="0" xfId="0" applyNumberFormat="1" applyFont="1" applyBorder="1" applyAlignment="1">
      <alignment horizontal="left" vertical="top"/>
    </xf>
    <xf numFmtId="168" fontId="19" fillId="0" borderId="0" xfId="0" applyNumberFormat="1" applyFont="1" applyBorder="1" applyAlignment="1">
      <alignment horizontal="justify" vertical="top"/>
    </xf>
    <xf numFmtId="166" fontId="19" fillId="0" borderId="0" xfId="0" applyNumberFormat="1" applyFont="1" applyBorder="1" applyAlignment="1" applyProtection="1">
      <alignment horizontal="left" vertical="top" wrapText="1"/>
      <protection locked="0"/>
    </xf>
    <xf numFmtId="3" fontId="20" fillId="0" borderId="0" xfId="0" applyNumberFormat="1" applyFont="1" applyBorder="1" applyAlignment="1">
      <alignment horizontal="right" vertical="top"/>
    </xf>
    <xf numFmtId="0" fontId="9" fillId="0" borderId="0" xfId="0" applyFont="1" applyBorder="1" applyAlignment="1">
      <alignment horizontal="justify"/>
    </xf>
    <xf numFmtId="0" fontId="9" fillId="0" borderId="0" xfId="0" applyFont="1" applyBorder="1" applyAlignment="1">
      <alignment horizontal="justify" vertical="top"/>
    </xf>
    <xf numFmtId="49" fontId="8" fillId="0" borderId="0" xfId="0" applyNumberFormat="1" applyFont="1" applyBorder="1" applyAlignment="1">
      <alignment horizontal="justify" vertical="top"/>
    </xf>
    <xf numFmtId="0" fontId="11" fillId="0" borderId="0" xfId="0" applyFont="1" applyBorder="1" applyAlignment="1">
      <alignment horizontal="justify" vertical="top"/>
    </xf>
    <xf numFmtId="0" fontId="7" fillId="0" borderId="0" xfId="0" applyFont="1" applyBorder="1" applyAlignment="1"/>
    <xf numFmtId="0" fontId="19" fillId="0" borderId="0" xfId="0" applyFont="1" applyBorder="1" applyAlignment="1">
      <alignment horizontal="left" vertical="top"/>
    </xf>
    <xf numFmtId="49" fontId="19" fillId="0" borderId="0" xfId="0" applyNumberFormat="1" applyFont="1" applyBorder="1" applyAlignment="1">
      <alignment horizontal="left" vertical="top" wrapText="1"/>
    </xf>
    <xf numFmtId="0" fontId="7" fillId="0" borderId="0" xfId="0" applyFont="1" applyBorder="1" applyAlignment="1" applyProtection="1">
      <alignment horizontal="left" vertical="top" wrapText="1"/>
      <protection locked="0"/>
    </xf>
    <xf numFmtId="3" fontId="21" fillId="0" borderId="0" xfId="0" applyNumberFormat="1" applyFont="1" applyBorder="1" applyAlignment="1">
      <alignment horizontal="right" vertical="top"/>
    </xf>
    <xf numFmtId="49" fontId="9" fillId="0" borderId="0" xfId="0" applyNumberFormat="1" applyFont="1" applyBorder="1" applyAlignment="1">
      <alignment horizontal="justify" vertical="top"/>
    </xf>
    <xf numFmtId="0" fontId="15" fillId="0" borderId="0" xfId="0" applyFont="1" applyBorder="1" applyAlignment="1">
      <alignment horizontal="justify" vertical="top"/>
    </xf>
    <xf numFmtId="3" fontId="22" fillId="0" borderId="0" xfId="0" applyNumberFormat="1" applyFont="1" applyBorder="1" applyAlignment="1">
      <alignment horizontal="right" vertical="top"/>
    </xf>
    <xf numFmtId="0" fontId="23" fillId="0" borderId="0" xfId="0" applyFont="1" applyBorder="1" applyAlignment="1">
      <alignment horizontal="justify"/>
    </xf>
    <xf numFmtId="0" fontId="23" fillId="0" borderId="0" xfId="0" applyFont="1" applyBorder="1" applyAlignment="1">
      <alignment horizontal="justify" vertical="top"/>
    </xf>
    <xf numFmtId="49" fontId="7" fillId="0" borderId="0" xfId="0" applyNumberFormat="1" applyFont="1" applyBorder="1" applyAlignment="1">
      <alignment horizontal="left" vertical="top" wrapText="1"/>
    </xf>
    <xf numFmtId="0" fontId="7" fillId="0" borderId="0" xfId="0" applyFont="1" applyBorder="1" applyAlignment="1">
      <alignment horizontal="left" vertical="top" wrapText="1"/>
    </xf>
    <xf numFmtId="0" fontId="24" fillId="0" borderId="0" xfId="0" applyFont="1" applyBorder="1" applyAlignment="1">
      <alignment horizontal="justify"/>
    </xf>
    <xf numFmtId="0" fontId="24" fillId="0" borderId="0" xfId="0" applyFont="1" applyBorder="1" applyAlignment="1">
      <alignment horizontal="justify" vertical="top"/>
    </xf>
    <xf numFmtId="49" fontId="25" fillId="0" borderId="0" xfId="0" applyNumberFormat="1" applyFont="1" applyBorder="1" applyAlignment="1">
      <alignment horizontal="justify" vertical="top"/>
    </xf>
    <xf numFmtId="0" fontId="25" fillId="0" borderId="0" xfId="0" applyFont="1" applyBorder="1" applyAlignment="1">
      <alignment horizontal="justify" vertical="top"/>
    </xf>
    <xf numFmtId="1" fontId="21" fillId="0" borderId="0" xfId="0" applyNumberFormat="1" applyFont="1" applyBorder="1" applyAlignment="1">
      <alignment horizontal="right" vertical="top"/>
    </xf>
    <xf numFmtId="0" fontId="7" fillId="0" borderId="0" xfId="0" applyFont="1" applyBorder="1"/>
    <xf numFmtId="1" fontId="6" fillId="0" borderId="0" xfId="0" applyNumberFormat="1" applyFont="1" applyBorder="1" applyAlignment="1">
      <alignment horizontal="right" vertical="top"/>
    </xf>
    <xf numFmtId="0" fontId="9" fillId="0" borderId="0" xfId="0" applyFont="1" applyBorder="1"/>
    <xf numFmtId="0" fontId="7" fillId="0" borderId="0" xfId="0" applyFont="1" applyBorder="1" applyAlignment="1">
      <alignment vertical="top"/>
    </xf>
    <xf numFmtId="49" fontId="24" fillId="0" borderId="0" xfId="0" applyNumberFormat="1" applyFont="1" applyBorder="1" applyAlignment="1">
      <alignment horizontal="justify" vertical="top"/>
    </xf>
    <xf numFmtId="49" fontId="8" fillId="0" borderId="0" xfId="0" applyNumberFormat="1" applyFont="1" applyAlignment="1">
      <alignment horizontal="center" vertical="top"/>
    </xf>
    <xf numFmtId="0" fontId="8" fillId="0" borderId="0" xfId="0" applyFont="1" applyAlignment="1">
      <alignment horizontal="center"/>
    </xf>
    <xf numFmtId="0" fontId="8" fillId="0" borderId="0" xfId="0" applyFont="1" applyAlignment="1">
      <alignment horizontal="right"/>
    </xf>
    <xf numFmtId="0" fontId="11" fillId="0" borderId="0" xfId="0" applyFont="1" applyAlignment="1">
      <alignment horizontal="center" vertical="top"/>
    </xf>
    <xf numFmtId="4" fontId="11" fillId="0" borderId="0" xfId="1" applyNumberFormat="1" applyFont="1" applyBorder="1" applyAlignment="1" applyProtection="1">
      <alignment horizontal="left" vertical="top"/>
      <protection locked="0"/>
    </xf>
    <xf numFmtId="0" fontId="0" fillId="0" borderId="0" xfId="0" applyAlignment="1">
      <alignment vertical="top" wrapText="1"/>
    </xf>
    <xf numFmtId="4" fontId="8" fillId="0" borderId="0" xfId="0" applyNumberFormat="1" applyFont="1" applyAlignment="1">
      <alignment horizontal="center"/>
    </xf>
    <xf numFmtId="4" fontId="8" fillId="0" borderId="0" xfId="0" applyNumberFormat="1" applyFont="1" applyAlignment="1">
      <alignment horizontal="right"/>
    </xf>
    <xf numFmtId="4" fontId="8" fillId="0" borderId="0" xfId="0" applyNumberFormat="1" applyFont="1"/>
    <xf numFmtId="0" fontId="8" fillId="2" borderId="0" xfId="0" applyFont="1" applyFill="1"/>
    <xf numFmtId="0" fontId="8" fillId="0" borderId="1" xfId="0" applyFont="1" applyBorder="1" applyAlignment="1">
      <alignment horizontal="center" vertical="top" wrapText="1"/>
    </xf>
    <xf numFmtId="0" fontId="8" fillId="0" borderId="5" xfId="0" applyFont="1" applyBorder="1" applyAlignment="1">
      <alignment horizontal="center" vertical="top" wrapText="1"/>
    </xf>
    <xf numFmtId="49" fontId="8" fillId="0" borderId="1" xfId="0" applyNumberFormat="1" applyFont="1" applyBorder="1" applyAlignment="1">
      <alignment horizontal="center" vertical="top"/>
    </xf>
    <xf numFmtId="0" fontId="8" fillId="0" borderId="1" xfId="0" applyFont="1" applyBorder="1"/>
    <xf numFmtId="0" fontId="8" fillId="0" borderId="1" xfId="0" applyFont="1" applyBorder="1" applyAlignment="1">
      <alignment horizontal="center"/>
    </xf>
    <xf numFmtId="0" fontId="8" fillId="0" borderId="1" xfId="0" applyFont="1" applyBorder="1" applyAlignment="1">
      <alignment horizontal="right"/>
    </xf>
    <xf numFmtId="4" fontId="8" fillId="0" borderId="1" xfId="0" applyNumberFormat="1" applyFont="1" applyBorder="1" applyAlignment="1" applyProtection="1">
      <alignment horizontal="left" vertical="top" wrapText="1"/>
    </xf>
    <xf numFmtId="4" fontId="8" fillId="0" borderId="1" xfId="0" applyNumberFormat="1" applyFont="1" applyBorder="1" applyAlignment="1">
      <alignment horizontal="center" vertical="top"/>
    </xf>
    <xf numFmtId="4" fontId="8" fillId="0" borderId="1" xfId="0" applyNumberFormat="1" applyFont="1" applyBorder="1" applyAlignment="1">
      <alignment horizontal="right" vertical="top"/>
    </xf>
    <xf numFmtId="4" fontId="8" fillId="0" borderId="1" xfId="0" applyNumberFormat="1" applyFont="1" applyBorder="1" applyAlignment="1" applyProtection="1">
      <alignment vertical="top"/>
      <protection locked="0"/>
    </xf>
    <xf numFmtId="4" fontId="8" fillId="0" borderId="1" xfId="0" applyNumberFormat="1" applyFont="1" applyBorder="1" applyAlignment="1">
      <alignment vertical="top"/>
    </xf>
    <xf numFmtId="4" fontId="8" fillId="0" borderId="1" xfId="0" applyNumberFormat="1" applyFont="1" applyBorder="1" applyAlignment="1" applyProtection="1">
      <alignment vertical="top" wrapText="1"/>
    </xf>
    <xf numFmtId="4" fontId="8" fillId="0" borderId="1" xfId="0" applyNumberFormat="1" applyFont="1" applyBorder="1" applyAlignment="1" applyProtection="1">
      <alignment horizontal="center" vertical="top"/>
    </xf>
    <xf numFmtId="0" fontId="8" fillId="0" borderId="1" xfId="0" applyFont="1" applyBorder="1" applyAlignment="1">
      <alignment horizontal="center" vertical="top"/>
    </xf>
    <xf numFmtId="0" fontId="8" fillId="0" borderId="1" xfId="0" applyFont="1" applyBorder="1" applyAlignment="1">
      <alignment vertical="top" wrapText="1"/>
    </xf>
    <xf numFmtId="0" fontId="8" fillId="0" borderId="1" xfId="0" applyFont="1" applyBorder="1" applyAlignment="1">
      <alignment vertical="top"/>
    </xf>
    <xf numFmtId="0" fontId="8" fillId="0" borderId="1" xfId="0" applyFont="1" applyBorder="1" applyAlignment="1">
      <alignment horizontal="right" vertical="top"/>
    </xf>
    <xf numFmtId="0" fontId="8" fillId="0" borderId="1" xfId="0" applyFont="1" applyBorder="1" applyAlignment="1">
      <alignment horizontal="left" vertical="top" wrapText="1"/>
    </xf>
    <xf numFmtId="4" fontId="8" fillId="0" borderId="1" xfId="0" applyNumberFormat="1" applyFont="1" applyBorder="1" applyAlignment="1">
      <alignment horizontal="right"/>
    </xf>
    <xf numFmtId="4" fontId="8" fillId="0" borderId="1" xfId="0" applyNumberFormat="1" applyFont="1" applyBorder="1" applyProtection="1">
      <protection locked="0"/>
    </xf>
    <xf numFmtId="4" fontId="8" fillId="0" borderId="1" xfId="0" applyNumberFormat="1" applyFont="1" applyBorder="1" applyAlignment="1" applyProtection="1"/>
    <xf numFmtId="0" fontId="11" fillId="0" borderId="1" xfId="0" applyFont="1" applyBorder="1"/>
    <xf numFmtId="4" fontId="11" fillId="0" borderId="1" xfId="0" applyNumberFormat="1" applyFont="1" applyBorder="1"/>
    <xf numFmtId="0" fontId="8" fillId="0" borderId="0" xfId="0" applyFont="1" applyBorder="1"/>
    <xf numFmtId="0" fontId="8" fillId="0" borderId="0" xfId="0" applyFont="1" applyProtection="1">
      <protection locked="0"/>
    </xf>
    <xf numFmtId="4" fontId="8" fillId="0" borderId="0" xfId="0" applyNumberFormat="1" applyFont="1" applyAlignment="1" applyProtection="1">
      <alignment horizontal="left"/>
    </xf>
    <xf numFmtId="4" fontId="8" fillId="0" borderId="0" xfId="0" applyNumberFormat="1" applyFont="1" applyProtection="1">
      <protection locked="0"/>
    </xf>
    <xf numFmtId="4" fontId="8" fillId="0" borderId="0" xfId="0" applyNumberFormat="1" applyFont="1" applyAlignment="1" applyProtection="1">
      <alignment horizontal="right"/>
    </xf>
    <xf numFmtId="2" fontId="8" fillId="0" borderId="0" xfId="0" applyNumberFormat="1" applyFont="1" applyAlignment="1">
      <alignment horizontal="right"/>
    </xf>
    <xf numFmtId="49" fontId="8" fillId="0" borderId="0" xfId="0" applyNumberFormat="1" applyFont="1" applyAlignment="1" applyProtection="1">
      <alignment horizontal="center" vertical="top"/>
    </xf>
    <xf numFmtId="49" fontId="8" fillId="0" borderId="0" xfId="0" applyNumberFormat="1" applyFont="1" applyBorder="1" applyAlignment="1">
      <alignment horizontal="center" vertical="top"/>
    </xf>
    <xf numFmtId="0" fontId="8" fillId="0" borderId="0" xfId="0" applyFont="1" applyBorder="1" applyAlignment="1">
      <alignment horizontal="center"/>
    </xf>
    <xf numFmtId="0" fontId="8" fillId="0" borderId="0" xfId="0" applyFont="1" applyBorder="1" applyAlignment="1">
      <alignment horizontal="right"/>
    </xf>
    <xf numFmtId="4" fontId="11" fillId="0" borderId="1" xfId="0" applyNumberFormat="1" applyFont="1" applyBorder="1" applyAlignment="1">
      <alignment vertical="center"/>
    </xf>
    <xf numFmtId="0" fontId="11" fillId="0" borderId="1" xfId="0" applyFont="1" applyBorder="1" applyAlignment="1">
      <alignment horizontal="center"/>
    </xf>
    <xf numFmtId="4" fontId="11" fillId="0" borderId="1" xfId="0" applyNumberFormat="1" applyFont="1" applyBorder="1" applyAlignment="1">
      <alignment horizontal="right"/>
    </xf>
    <xf numFmtId="4" fontId="11" fillId="0" borderId="0" xfId="0" applyNumberFormat="1" applyFont="1" applyAlignment="1">
      <alignment vertical="center"/>
    </xf>
    <xf numFmtId="0" fontId="11" fillId="0" borderId="0" xfId="0" applyFont="1" applyAlignment="1">
      <alignment horizontal="center"/>
    </xf>
    <xf numFmtId="4" fontId="11" fillId="0" borderId="0" xfId="0" applyNumberFormat="1" applyFont="1" applyAlignment="1">
      <alignment horizontal="right"/>
    </xf>
    <xf numFmtId="4" fontId="8" fillId="0" borderId="3" xfId="0" applyNumberFormat="1" applyFont="1" applyBorder="1"/>
    <xf numFmtId="49" fontId="8" fillId="0" borderId="8" xfId="0" applyNumberFormat="1" applyFont="1" applyBorder="1" applyAlignment="1">
      <alignment horizontal="center" vertical="top"/>
    </xf>
    <xf numFmtId="49" fontId="11" fillId="0" borderId="1" xfId="0" applyNumberFormat="1" applyFont="1" applyBorder="1" applyAlignment="1">
      <alignment horizontal="center" vertical="top"/>
    </xf>
    <xf numFmtId="49" fontId="11" fillId="0" borderId="0" xfId="0" applyNumberFormat="1" applyFont="1" applyAlignment="1">
      <alignment horizontal="center"/>
    </xf>
    <xf numFmtId="4" fontId="11" fillId="0" borderId="0" xfId="1" applyNumberFormat="1" applyFont="1" applyBorder="1" applyAlignment="1" applyProtection="1">
      <alignment horizontal="left" vertical="top"/>
      <protection locked="0"/>
    </xf>
    <xf numFmtId="4" fontId="8" fillId="0" borderId="0" xfId="1" applyNumberFormat="1" applyFont="1" applyBorder="1" applyAlignment="1" applyProtection="1">
      <alignment horizontal="left" vertical="top"/>
      <protection locked="0"/>
    </xf>
    <xf numFmtId="166" fontId="8" fillId="0" borderId="1" xfId="0" applyNumberFormat="1" applyFont="1" applyBorder="1"/>
    <xf numFmtId="166" fontId="11" fillId="0" borderId="1" xfId="0" applyNumberFormat="1" applyFont="1" applyBorder="1"/>
    <xf numFmtId="166" fontId="11" fillId="0" borderId="0" xfId="0" applyNumberFormat="1" applyFont="1"/>
    <xf numFmtId="49" fontId="8" fillId="0" borderId="3" xfId="0" applyNumberFormat="1" applyFont="1" applyBorder="1" applyAlignment="1">
      <alignment horizontal="left" vertical="top"/>
    </xf>
    <xf numFmtId="0" fontId="8" fillId="0" borderId="3" xfId="0" applyFont="1" applyBorder="1"/>
    <xf numFmtId="0" fontId="8" fillId="0" borderId="3" xfId="0" applyFont="1" applyBorder="1" applyAlignment="1">
      <alignment horizontal="center"/>
    </xf>
    <xf numFmtId="4" fontId="11" fillId="0" borderId="3" xfId="0" applyNumberFormat="1" applyFont="1" applyBorder="1" applyAlignment="1" applyProtection="1">
      <alignment horizontal="right"/>
    </xf>
    <xf numFmtId="4" fontId="8" fillId="0" borderId="3" xfId="0" applyNumberFormat="1" applyFont="1" applyBorder="1" applyAlignment="1" applyProtection="1">
      <alignment horizontal="left"/>
    </xf>
    <xf numFmtId="4" fontId="8" fillId="0" borderId="1" xfId="0" applyNumberFormat="1" applyFont="1" applyBorder="1" applyAlignment="1">
      <alignment horizontal="left" vertical="top" wrapText="1"/>
    </xf>
    <xf numFmtId="4" fontId="8" fillId="0" borderId="1" xfId="0" applyNumberFormat="1" applyFont="1" applyBorder="1" applyAlignment="1">
      <alignment horizontal="center"/>
    </xf>
    <xf numFmtId="4" fontId="8" fillId="0" borderId="1" xfId="0" applyNumberFormat="1" applyFont="1" applyBorder="1" applyAlignment="1">
      <alignment vertical="top" wrapText="1"/>
    </xf>
    <xf numFmtId="4" fontId="8" fillId="0" borderId="1" xfId="7" applyNumberFormat="1" applyFont="1" applyBorder="1" applyAlignment="1">
      <alignment horizontal="center"/>
    </xf>
    <xf numFmtId="4" fontId="8" fillId="0" borderId="1" xfId="7" applyNumberFormat="1" applyFont="1" applyBorder="1" applyAlignment="1">
      <alignment horizontal="right"/>
    </xf>
    <xf numFmtId="0" fontId="8" fillId="0" borderId="1" xfId="0" applyFont="1" applyBorder="1" applyAlignment="1">
      <alignment horizontal="left" vertical="top" wrapText="1"/>
    </xf>
    <xf numFmtId="0" fontId="8" fillId="0" borderId="1" xfId="0" applyFont="1" applyBorder="1" applyAlignment="1">
      <alignment horizontal="center"/>
    </xf>
    <xf numFmtId="4" fontId="8" fillId="0" borderId="1" xfId="0" applyNumberFormat="1" applyFont="1" applyBorder="1" applyAlignment="1">
      <alignment horizontal="right"/>
    </xf>
    <xf numFmtId="4" fontId="8" fillId="0" borderId="1" xfId="0" applyNumberFormat="1" applyFont="1" applyBorder="1" applyProtection="1">
      <protection locked="0"/>
    </xf>
    <xf numFmtId="4" fontId="8" fillId="0" borderId="1" xfId="0" applyNumberFormat="1" applyFont="1" applyBorder="1"/>
    <xf numFmtId="4" fontId="11" fillId="0" borderId="1" xfId="7" applyNumberFormat="1" applyFont="1" applyBorder="1" applyAlignment="1">
      <alignment vertical="top" wrapText="1"/>
    </xf>
    <xf numFmtId="4" fontId="8" fillId="0" borderId="1" xfId="7" applyNumberFormat="1" applyFont="1" applyBorder="1" applyAlignment="1">
      <alignment vertical="top" wrapText="1"/>
    </xf>
    <xf numFmtId="4" fontId="8" fillId="0" borderId="1" xfId="7" applyNumberFormat="1" applyFont="1" applyBorder="1" applyAlignment="1">
      <alignment horizontal="left" vertical="top" wrapText="1"/>
    </xf>
    <xf numFmtId="0" fontId="8" fillId="0" borderId="1" xfId="0" applyFont="1" applyBorder="1" applyAlignment="1">
      <alignment horizontal="left" wrapText="1"/>
    </xf>
    <xf numFmtId="1" fontId="8" fillId="0" borderId="1" xfId="0" applyNumberFormat="1" applyFont="1" applyBorder="1" applyAlignment="1">
      <alignment horizontal="center" vertical="top"/>
    </xf>
    <xf numFmtId="0" fontId="8" fillId="0" borderId="1" xfId="0" applyFont="1" applyBorder="1" applyAlignment="1">
      <alignment wrapText="1"/>
    </xf>
    <xf numFmtId="169" fontId="8" fillId="0" borderId="1" xfId="0" applyNumberFormat="1" applyFont="1" applyBorder="1" applyAlignment="1">
      <alignment horizontal="right"/>
    </xf>
    <xf numFmtId="4" fontId="8" fillId="0" borderId="1" xfId="0" applyNumberFormat="1" applyFont="1" applyBorder="1" applyAlignment="1" applyProtection="1">
      <alignment horizontal="right"/>
      <protection locked="0"/>
    </xf>
    <xf numFmtId="0" fontId="2" fillId="0" borderId="1" xfId="0" applyFont="1" applyBorder="1" applyAlignment="1">
      <alignment horizontal="left" vertical="top" wrapText="1"/>
    </xf>
    <xf numFmtId="0" fontId="20" fillId="0" borderId="1" xfId="0" applyFont="1" applyBorder="1" applyAlignment="1">
      <alignment horizontal="left" vertical="top" wrapText="1"/>
    </xf>
    <xf numFmtId="0" fontId="20" fillId="0" borderId="1" xfId="0" applyFont="1" applyBorder="1" applyAlignment="1">
      <alignment horizontal="center"/>
    </xf>
    <xf numFmtId="4" fontId="20" fillId="0" borderId="1" xfId="0" applyNumberFormat="1" applyFont="1" applyBorder="1" applyAlignment="1">
      <alignment horizontal="right"/>
    </xf>
    <xf numFmtId="0" fontId="11" fillId="0" borderId="1" xfId="0" applyFont="1" applyBorder="1" applyAlignment="1">
      <alignment horizontal="left" vertical="top" wrapText="1"/>
    </xf>
    <xf numFmtId="0" fontId="8" fillId="0" borderId="1" xfId="3" applyFont="1" applyBorder="1" applyAlignment="1" applyProtection="1">
      <alignment horizontal="left" vertical="top" wrapText="1"/>
      <protection locked="0"/>
    </xf>
    <xf numFmtId="1" fontId="8" fillId="0" borderId="0" xfId="0" applyNumberFormat="1" applyFont="1" applyAlignment="1">
      <alignment horizontal="center"/>
    </xf>
    <xf numFmtId="4" fontId="8" fillId="0" borderId="1" xfId="0" applyNumberFormat="1" applyFont="1" applyBorder="1" applyAlignment="1">
      <alignment wrapText="1"/>
    </xf>
    <xf numFmtId="49" fontId="11" fillId="0" borderId="9" xfId="0" applyNumberFormat="1" applyFont="1" applyBorder="1" applyAlignment="1">
      <alignment horizontal="center" vertical="top"/>
    </xf>
    <xf numFmtId="0" fontId="11" fillId="0" borderId="9" xfId="0" applyFont="1" applyBorder="1"/>
    <xf numFmtId="0" fontId="29" fillId="0" borderId="0" xfId="0" applyFont="1" applyAlignment="1">
      <alignment vertical="top"/>
    </xf>
    <xf numFmtId="0" fontId="29" fillId="0" borderId="0" xfId="0" applyFont="1" applyAlignment="1">
      <alignment horizontal="center" vertical="top"/>
    </xf>
    <xf numFmtId="49" fontId="11" fillId="0" borderId="0" xfId="0" applyNumberFormat="1" applyFont="1" applyAlignment="1">
      <alignment horizontal="center" vertical="top"/>
    </xf>
    <xf numFmtId="4" fontId="11" fillId="0" borderId="1" xfId="4" applyNumberFormat="1" applyFont="1" applyBorder="1" applyAlignment="1">
      <alignment horizontal="center" vertical="top"/>
    </xf>
    <xf numFmtId="4" fontId="11" fillId="0" borderId="1" xfId="4" applyNumberFormat="1" applyFont="1" applyBorder="1" applyAlignment="1">
      <alignment horizontal="left" vertical="top"/>
    </xf>
    <xf numFmtId="1" fontId="8" fillId="0" borderId="1" xfId="0" applyNumberFormat="1" applyFont="1" applyBorder="1" applyAlignment="1">
      <alignment horizontal="right"/>
    </xf>
    <xf numFmtId="4" fontId="8" fillId="0" borderId="1" xfId="4" applyNumberFormat="1" applyFont="1" applyBorder="1" applyAlignment="1">
      <alignment horizontal="center" vertical="top"/>
    </xf>
    <xf numFmtId="166" fontId="8" fillId="0" borderId="1" xfId="0" applyNumberFormat="1" applyFont="1" applyBorder="1" applyAlignment="1">
      <alignment horizontal="right"/>
    </xf>
    <xf numFmtId="49" fontId="8" fillId="0" borderId="1" xfId="0" applyNumberFormat="1" applyFont="1" applyBorder="1" applyAlignment="1">
      <alignment horizontal="left" vertical="top" indent="1"/>
    </xf>
    <xf numFmtId="0" fontId="11" fillId="0" borderId="1" xfId="0" applyFont="1" applyBorder="1" applyAlignment="1">
      <alignment horizontal="left" wrapText="1"/>
    </xf>
    <xf numFmtId="1" fontId="11" fillId="0" borderId="1" xfId="0" applyNumberFormat="1" applyFont="1" applyBorder="1" applyAlignment="1">
      <alignment horizontal="right"/>
    </xf>
    <xf numFmtId="166" fontId="11" fillId="0" borderId="1" xfId="0" applyNumberFormat="1" applyFont="1" applyBorder="1" applyAlignment="1">
      <alignment horizontal="right"/>
    </xf>
    <xf numFmtId="4" fontId="11" fillId="0" borderId="9" xfId="4" applyNumberFormat="1" applyFont="1" applyBorder="1" applyAlignment="1">
      <alignment horizontal="center" vertical="top"/>
    </xf>
    <xf numFmtId="4" fontId="27" fillId="0" borderId="1" xfId="0" applyNumberFormat="1" applyFont="1" applyBorder="1" applyProtection="1">
      <protection locked="0"/>
    </xf>
    <xf numFmtId="4" fontId="27" fillId="0" borderId="1" xfId="0" applyNumberFormat="1" applyFont="1" applyBorder="1" applyAlignment="1"/>
    <xf numFmtId="0" fontId="30" fillId="0" borderId="1" xfId="0" applyFont="1" applyBorder="1" applyAlignment="1">
      <alignment vertical="center" wrapText="1"/>
    </xf>
    <xf numFmtId="0" fontId="27" fillId="0" borderId="1" xfId="0" applyFont="1" applyBorder="1" applyAlignment="1">
      <alignment horizontal="center" vertical="top"/>
    </xf>
    <xf numFmtId="0" fontId="27" fillId="0" borderId="1" xfId="0" applyFont="1" applyBorder="1" applyAlignment="1">
      <alignment horizontal="right" vertical="top"/>
    </xf>
    <xf numFmtId="4" fontId="30" fillId="0" borderId="1" xfId="0" applyNumberFormat="1" applyFont="1" applyBorder="1"/>
    <xf numFmtId="0" fontId="11" fillId="0" borderId="1" xfId="0" applyFont="1" applyBorder="1" applyAlignment="1">
      <alignment horizontal="left" vertical="top"/>
    </xf>
    <xf numFmtId="0" fontId="30" fillId="0" borderId="1" xfId="0" applyFont="1" applyBorder="1" applyAlignment="1">
      <alignment horizontal="left" vertical="center" wrapText="1"/>
    </xf>
    <xf numFmtId="0" fontId="27" fillId="0" borderId="1" xfId="0" applyFont="1" applyBorder="1" applyAlignment="1">
      <alignment horizontal="left" vertical="top"/>
    </xf>
    <xf numFmtId="4" fontId="30" fillId="0" borderId="1" xfId="0" applyNumberFormat="1" applyFont="1" applyBorder="1" applyAlignment="1">
      <alignment horizontal="left"/>
    </xf>
    <xf numFmtId="0" fontId="29" fillId="0" borderId="0" xfId="0" applyFont="1" applyAlignment="1">
      <alignment horizontal="left" vertical="top"/>
    </xf>
    <xf numFmtId="0" fontId="27" fillId="0" borderId="1" xfId="0" applyFont="1" applyBorder="1" applyAlignment="1">
      <alignment vertical="center" wrapText="1"/>
    </xf>
    <xf numFmtId="4" fontId="27" fillId="0" borderId="1" xfId="0" applyNumberFormat="1" applyFont="1" applyBorder="1"/>
    <xf numFmtId="0" fontId="30" fillId="0" borderId="0" xfId="0" applyFont="1" applyAlignment="1">
      <alignment vertical="center" wrapText="1"/>
    </xf>
    <xf numFmtId="0" fontId="27" fillId="0" borderId="0" xfId="0" applyFont="1" applyAlignment="1">
      <alignment vertical="center" wrapText="1"/>
    </xf>
    <xf numFmtId="0" fontId="27" fillId="0" borderId="0" xfId="0" applyFont="1" applyAlignment="1">
      <alignment vertical="center"/>
    </xf>
    <xf numFmtId="0" fontId="31" fillId="0" borderId="0" xfId="0" applyFont="1" applyAlignment="1">
      <alignment horizontal="left" vertical="top"/>
    </xf>
    <xf numFmtId="0" fontId="8" fillId="0" borderId="1" xfId="0" applyFont="1" applyFill="1" applyBorder="1" applyAlignment="1">
      <alignment horizontal="center" vertical="top"/>
    </xf>
    <xf numFmtId="4" fontId="8" fillId="0" borderId="1" xfId="0" applyNumberFormat="1" applyFont="1" applyFill="1" applyBorder="1" applyAlignment="1">
      <alignment vertical="top" wrapText="1"/>
    </xf>
    <xf numFmtId="4" fontId="8" fillId="0" borderId="1" xfId="0" applyNumberFormat="1" applyFont="1" applyFill="1" applyBorder="1" applyAlignment="1">
      <alignment horizontal="center"/>
    </xf>
    <xf numFmtId="4" fontId="8" fillId="0" borderId="1" xfId="0" applyNumberFormat="1" applyFont="1" applyFill="1" applyBorder="1" applyAlignment="1">
      <alignment horizontal="right"/>
    </xf>
    <xf numFmtId="4" fontId="8" fillId="0" borderId="1" xfId="0" applyNumberFormat="1" applyFont="1" applyFill="1" applyBorder="1"/>
    <xf numFmtId="0" fontId="8" fillId="0" borderId="1" xfId="0" applyFont="1" applyFill="1" applyBorder="1" applyAlignment="1">
      <alignment horizontal="center"/>
    </xf>
    <xf numFmtId="1" fontId="8" fillId="0" borderId="1" xfId="8" applyNumberFormat="1" applyFont="1" applyBorder="1" applyAlignment="1">
      <alignment horizontal="center" vertical="top"/>
    </xf>
    <xf numFmtId="4" fontId="8" fillId="0" borderId="1" xfId="8" applyNumberFormat="1" applyFont="1" applyBorder="1" applyAlignment="1">
      <alignment vertical="top" wrapText="1"/>
    </xf>
    <xf numFmtId="0" fontId="8" fillId="0" borderId="1" xfId="8" applyFont="1" applyBorder="1" applyAlignment="1">
      <alignment horizontal="center"/>
    </xf>
    <xf numFmtId="4" fontId="8" fillId="0" borderId="1" xfId="8" applyNumberFormat="1" applyFont="1" applyBorder="1" applyAlignment="1">
      <alignment horizontal="center"/>
    </xf>
    <xf numFmtId="4" fontId="8" fillId="0" borderId="1" xfId="8" applyNumberFormat="1" applyFont="1" applyBorder="1"/>
    <xf numFmtId="0" fontId="29" fillId="0" borderId="0" xfId="0" applyFont="1"/>
    <xf numFmtId="49" fontId="8" fillId="0" borderId="1" xfId="0" applyNumberFormat="1" applyFont="1" applyFill="1" applyBorder="1" applyAlignment="1">
      <alignment horizontal="center" vertical="top"/>
    </xf>
    <xf numFmtId="0" fontId="8" fillId="0" borderId="1" xfId="0" applyFont="1" applyFill="1" applyBorder="1" applyAlignment="1">
      <alignment horizontal="left" vertical="top" wrapText="1"/>
    </xf>
    <xf numFmtId="4" fontId="8" fillId="0" borderId="1" xfId="0" applyNumberFormat="1" applyFont="1" applyFill="1" applyBorder="1" applyProtection="1">
      <protection locked="0"/>
    </xf>
    <xf numFmtId="0" fontId="8" fillId="0" borderId="1" xfId="8" applyFont="1" applyBorder="1" applyAlignment="1">
      <alignment horizontal="left" vertical="top" wrapText="1"/>
    </xf>
    <xf numFmtId="4" fontId="8" fillId="0" borderId="1" xfId="8" applyNumberFormat="1" applyFont="1" applyBorder="1" applyAlignment="1" applyProtection="1">
      <alignment horizontal="center"/>
      <protection locked="0"/>
    </xf>
    <xf numFmtId="0" fontId="29" fillId="0" borderId="0" xfId="0" applyFont="1" applyAlignment="1">
      <alignment vertical="top" wrapText="1"/>
    </xf>
    <xf numFmtId="0" fontId="8" fillId="0" borderId="1" xfId="3" applyFont="1" applyBorder="1" applyAlignment="1" applyProtection="1">
      <alignment horizontal="center" vertical="top" wrapText="1"/>
      <protection locked="0"/>
    </xf>
    <xf numFmtId="0" fontId="8" fillId="0" borderId="9" xfId="0" applyFont="1" applyBorder="1" applyAlignment="1">
      <alignment horizontal="center"/>
    </xf>
    <xf numFmtId="0" fontId="8" fillId="0" borderId="9" xfId="0" applyFont="1" applyBorder="1" applyAlignment="1">
      <alignment horizontal="right"/>
    </xf>
    <xf numFmtId="0" fontId="8" fillId="0" borderId="9" xfId="0" applyFont="1" applyBorder="1"/>
    <xf numFmtId="0" fontId="8" fillId="0" borderId="10" xfId="0" applyFont="1" applyBorder="1"/>
    <xf numFmtId="49" fontId="8" fillId="0" borderId="1" xfId="0" applyNumberFormat="1" applyFont="1" applyBorder="1"/>
    <xf numFmtId="0" fontId="8" fillId="0" borderId="10" xfId="0" applyFont="1" applyBorder="1" applyAlignment="1">
      <alignment wrapText="1"/>
    </xf>
    <xf numFmtId="49" fontId="8" fillId="0" borderId="1" xfId="0" applyNumberFormat="1" applyFont="1" applyBorder="1" applyAlignment="1">
      <alignment wrapText="1"/>
    </xf>
    <xf numFmtId="0" fontId="8" fillId="0" borderId="10" xfId="0" applyFont="1" applyBorder="1" applyAlignment="1">
      <alignment vertical="top"/>
    </xf>
    <xf numFmtId="0" fontId="11" fillId="0" borderId="1" xfId="0" applyFont="1" applyBorder="1" applyAlignment="1">
      <alignment vertical="top" wrapText="1"/>
    </xf>
    <xf numFmtId="14" fontId="8" fillId="0" borderId="10" xfId="0" applyNumberFormat="1" applyFont="1" applyBorder="1" applyAlignment="1">
      <alignment vertical="top"/>
    </xf>
    <xf numFmtId="0" fontId="11" fillId="0" borderId="1" xfId="0" applyFont="1" applyBorder="1" applyAlignment="1">
      <alignment horizontal="justify"/>
    </xf>
    <xf numFmtId="0" fontId="8" fillId="0" borderId="11" xfId="0" applyFont="1" applyBorder="1" applyAlignment="1">
      <alignment wrapText="1"/>
    </xf>
    <xf numFmtId="0" fontId="8" fillId="0" borderId="6" xfId="0" applyFont="1" applyBorder="1" applyAlignment="1">
      <alignment wrapText="1"/>
    </xf>
    <xf numFmtId="0" fontId="8" fillId="0" borderId="6" xfId="0" applyFont="1" applyBorder="1"/>
    <xf numFmtId="0" fontId="8" fillId="0" borderId="11" xfId="0" applyFont="1" applyBorder="1"/>
    <xf numFmtId="0" fontId="11" fillId="0" borderId="1" xfId="0" applyFont="1" applyBorder="1" applyAlignment="1">
      <alignment wrapText="1"/>
    </xf>
    <xf numFmtId="0" fontId="11" fillId="0" borderId="6" xfId="0" applyFont="1" applyBorder="1" applyAlignment="1">
      <alignment wrapText="1"/>
    </xf>
    <xf numFmtId="0" fontId="27" fillId="0" borderId="0" xfId="0" applyFont="1" applyAlignment="1">
      <alignment vertical="top" wrapText="1"/>
    </xf>
    <xf numFmtId="170" fontId="11" fillId="0" borderId="1" xfId="0" applyNumberFormat="1" applyFont="1" applyBorder="1" applyAlignment="1">
      <alignment horizontal="right" wrapText="1"/>
    </xf>
    <xf numFmtId="171" fontId="11" fillId="0" borderId="1" xfId="0" applyNumberFormat="1" applyFont="1" applyBorder="1" applyAlignment="1">
      <alignment horizontal="right" wrapText="1"/>
    </xf>
    <xf numFmtId="171" fontId="11" fillId="0" borderId="1" xfId="0" applyNumberFormat="1" applyFont="1" applyBorder="1" applyAlignment="1">
      <alignment horizontal="right"/>
    </xf>
    <xf numFmtId="4" fontId="11" fillId="0" borderId="1" xfId="0" applyNumberFormat="1" applyFont="1" applyBorder="1" applyAlignment="1">
      <alignment horizontal="right" wrapText="1"/>
    </xf>
    <xf numFmtId="4" fontId="11" fillId="0" borderId="6" xfId="0" applyNumberFormat="1" applyFont="1" applyBorder="1" applyAlignment="1">
      <alignment horizontal="right" wrapText="1"/>
    </xf>
    <xf numFmtId="4" fontId="8" fillId="0" borderId="6" xfId="0" applyNumberFormat="1" applyFont="1" applyBorder="1" applyAlignment="1">
      <alignment horizontal="right" wrapText="1"/>
    </xf>
    <xf numFmtId="0" fontId="8" fillId="0" borderId="0" xfId="0" applyFont="1" applyFill="1"/>
    <xf numFmtId="0" fontId="11" fillId="0" borderId="0" xfId="0" applyFont="1" applyFill="1" applyAlignment="1">
      <alignment horizontal="center" vertical="top"/>
    </xf>
    <xf numFmtId="4" fontId="11" fillId="0" borderId="0" xfId="1" applyNumberFormat="1" applyFont="1" applyFill="1" applyBorder="1" applyAlignment="1" applyProtection="1">
      <alignment horizontal="left" vertical="top"/>
      <protection locked="0"/>
    </xf>
    <xf numFmtId="0" fontId="0" fillId="0" borderId="0" xfId="0" applyFill="1" applyAlignment="1">
      <alignment vertical="top" wrapText="1"/>
    </xf>
    <xf numFmtId="0" fontId="0" fillId="0" borderId="0" xfId="0" applyFill="1"/>
    <xf numFmtId="49" fontId="8" fillId="0" borderId="0" xfId="0" applyNumberFormat="1" applyFont="1" applyFill="1" applyAlignment="1">
      <alignment horizontal="center" vertical="top"/>
    </xf>
    <xf numFmtId="4" fontId="8" fillId="0" borderId="0" xfId="1" applyNumberFormat="1" applyFont="1" applyFill="1" applyBorder="1" applyAlignment="1" applyProtection="1">
      <alignment horizontal="left" vertical="top"/>
      <protection locked="0"/>
    </xf>
    <xf numFmtId="4" fontId="8" fillId="0" borderId="0" xfId="0" applyNumberFormat="1" applyFont="1" applyFill="1" applyAlignment="1">
      <alignment horizontal="center"/>
    </xf>
    <xf numFmtId="4" fontId="8" fillId="0" borderId="0" xfId="0" applyNumberFormat="1" applyFont="1" applyFill="1" applyAlignment="1">
      <alignment horizontal="right"/>
    </xf>
    <xf numFmtId="4" fontId="8" fillId="0" borderId="0" xfId="0" applyNumberFormat="1" applyFont="1" applyFill="1"/>
    <xf numFmtId="0" fontId="8" fillId="0" borderId="1" xfId="0" applyFont="1" applyFill="1" applyBorder="1"/>
    <xf numFmtId="0" fontId="8" fillId="0" borderId="1" xfId="0" applyFont="1" applyFill="1" applyBorder="1" applyAlignment="1">
      <alignment horizontal="right"/>
    </xf>
    <xf numFmtId="166" fontId="8" fillId="0" borderId="1" xfId="0" applyNumberFormat="1" applyFont="1" applyFill="1" applyBorder="1"/>
    <xf numFmtId="1" fontId="34" fillId="0" borderId="0" xfId="0" applyNumberFormat="1" applyFont="1" applyFill="1"/>
    <xf numFmtId="9" fontId="34" fillId="0" borderId="0" xfId="2" applyFont="1" applyFill="1"/>
    <xf numFmtId="0" fontId="8" fillId="0" borderId="1" xfId="0" applyFont="1" applyFill="1" applyBorder="1" applyAlignment="1">
      <alignment horizontal="left"/>
    </xf>
    <xf numFmtId="4" fontId="11" fillId="0" borderId="1" xfId="0" applyNumberFormat="1" applyFont="1" applyFill="1" applyBorder="1" applyAlignment="1">
      <alignment vertical="center"/>
    </xf>
    <xf numFmtId="0" fontId="11" fillId="0" borderId="1" xfId="0" applyFont="1" applyFill="1" applyBorder="1" applyAlignment="1">
      <alignment horizontal="center"/>
    </xf>
    <xf numFmtId="4" fontId="11" fillId="0" borderId="1" xfId="0" applyNumberFormat="1" applyFont="1" applyFill="1" applyBorder="1" applyAlignment="1">
      <alignment horizontal="right"/>
    </xf>
    <xf numFmtId="0" fontId="11" fillId="0" borderId="1" xfId="0" applyFont="1" applyFill="1" applyBorder="1"/>
    <xf numFmtId="166" fontId="11" fillId="0" borderId="1" xfId="0" applyNumberFormat="1" applyFont="1" applyFill="1" applyBorder="1"/>
    <xf numFmtId="1" fontId="35" fillId="0" borderId="0" xfId="0" applyNumberFormat="1" applyFont="1" applyFill="1"/>
    <xf numFmtId="9" fontId="34" fillId="0" borderId="0" xfId="0" applyNumberFormat="1" applyFont="1" applyFill="1"/>
    <xf numFmtId="4" fontId="11" fillId="0" borderId="0" xfId="0" applyNumberFormat="1" applyFont="1" applyFill="1" applyAlignment="1">
      <alignment vertical="center"/>
    </xf>
    <xf numFmtId="0" fontId="11" fillId="0" borderId="0" xfId="0" applyFont="1" applyFill="1" applyAlignment="1">
      <alignment horizontal="center"/>
    </xf>
    <xf numFmtId="4" fontId="11" fillId="0" borderId="0" xfId="0" applyNumberFormat="1" applyFont="1" applyFill="1" applyAlignment="1">
      <alignment horizontal="right"/>
    </xf>
    <xf numFmtId="0" fontId="11" fillId="0" borderId="0" xfId="0" applyFont="1" applyFill="1"/>
    <xf numFmtId="166" fontId="11" fillId="0" borderId="0" xfId="0" applyNumberFormat="1" applyFont="1" applyFill="1"/>
    <xf numFmtId="49" fontId="8" fillId="0" borderId="3" xfId="0" applyNumberFormat="1" applyFont="1" applyFill="1" applyBorder="1" applyAlignment="1">
      <alignment horizontal="left" vertical="top"/>
    </xf>
    <xf numFmtId="0" fontId="8" fillId="0" borderId="3" xfId="0" applyFont="1" applyFill="1" applyBorder="1"/>
    <xf numFmtId="0" fontId="8" fillId="0" borderId="3" xfId="0" applyFont="1" applyFill="1" applyBorder="1" applyAlignment="1">
      <alignment horizontal="center"/>
    </xf>
    <xf numFmtId="4" fontId="11" fillId="0" borderId="3" xfId="0" applyNumberFormat="1" applyFont="1" applyFill="1" applyBorder="1" applyAlignment="1">
      <alignment horizontal="right"/>
    </xf>
    <xf numFmtId="4" fontId="8" fillId="0" borderId="3" xfId="0" applyNumberFormat="1" applyFont="1" applyFill="1" applyBorder="1" applyAlignment="1">
      <alignment horizontal="left"/>
    </xf>
    <xf numFmtId="4" fontId="8" fillId="0" borderId="3" xfId="0" applyNumberFormat="1" applyFont="1" applyFill="1" applyBorder="1"/>
    <xf numFmtId="0" fontId="2" fillId="0" borderId="0" xfId="0" applyFont="1" applyFill="1" applyAlignment="1">
      <alignment horizontal="left" vertical="top"/>
    </xf>
    <xf numFmtId="0" fontId="8" fillId="0" borderId="6" xfId="0" applyFont="1" applyFill="1" applyBorder="1" applyAlignment="1">
      <alignment horizontal="center" vertical="top" wrapText="1"/>
    </xf>
    <xf numFmtId="0" fontId="8" fillId="0" borderId="7" xfId="0" applyFont="1" applyFill="1" applyBorder="1" applyAlignment="1">
      <alignment horizontal="center" vertical="top" wrapText="1"/>
    </xf>
    <xf numFmtId="49" fontId="11" fillId="0" borderId="1" xfId="0" applyNumberFormat="1" applyFont="1" applyFill="1" applyBorder="1" applyAlignment="1">
      <alignment horizontal="center" vertical="top"/>
    </xf>
    <xf numFmtId="4" fontId="8" fillId="0" borderId="1" xfId="0" applyNumberFormat="1" applyFont="1" applyFill="1" applyBorder="1" applyAlignment="1">
      <alignment horizontal="left" wrapText="1"/>
    </xf>
    <xf numFmtId="3" fontId="8" fillId="0" borderId="1" xfId="0" applyNumberFormat="1" applyFont="1" applyFill="1" applyBorder="1" applyAlignment="1">
      <alignment horizontal="right"/>
    </xf>
    <xf numFmtId="0" fontId="8" fillId="0" borderId="1" xfId="0" applyFont="1" applyFill="1" applyBorder="1" applyAlignment="1">
      <alignment vertical="top" wrapText="1"/>
    </xf>
    <xf numFmtId="0" fontId="8" fillId="0" borderId="1" xfId="0" applyFont="1" applyFill="1" applyBorder="1" applyAlignment="1">
      <alignment wrapText="1"/>
    </xf>
    <xf numFmtId="4" fontId="8" fillId="0" borderId="1" xfId="7" applyNumberFormat="1" applyFont="1" applyFill="1" applyBorder="1" applyAlignment="1">
      <alignment vertical="top" wrapText="1"/>
    </xf>
    <xf numFmtId="4" fontId="8" fillId="0" borderId="1" xfId="7" applyNumberFormat="1" applyFont="1" applyFill="1" applyBorder="1" applyAlignment="1">
      <alignment horizontal="center"/>
    </xf>
    <xf numFmtId="4" fontId="8" fillId="0" borderId="1" xfId="7" applyNumberFormat="1" applyFont="1" applyFill="1" applyBorder="1" applyAlignment="1">
      <alignment horizontal="right"/>
    </xf>
    <xf numFmtId="4" fontId="8" fillId="0" borderId="1" xfId="7" applyNumberFormat="1" applyFont="1" applyFill="1" applyBorder="1" applyAlignment="1">
      <alignment horizontal="left" vertical="top" wrapText="1"/>
    </xf>
    <xf numFmtId="4" fontId="11" fillId="0" borderId="1" xfId="0" applyNumberFormat="1" applyFont="1" applyFill="1" applyBorder="1"/>
    <xf numFmtId="4" fontId="8" fillId="0" borderId="1" xfId="0" applyNumberFormat="1" applyFont="1" applyFill="1" applyBorder="1" applyAlignment="1">
      <alignment horizontal="left" vertical="top" wrapText="1"/>
    </xf>
    <xf numFmtId="4" fontId="14" fillId="0" borderId="1" xfId="0" applyNumberFormat="1" applyFont="1" applyFill="1" applyBorder="1" applyAlignment="1">
      <alignment horizontal="right"/>
    </xf>
    <xf numFmtId="4" fontId="26" fillId="0" borderId="1" xfId="0" applyNumberFormat="1" applyFont="1" applyFill="1" applyBorder="1"/>
    <xf numFmtId="49" fontId="8" fillId="0" borderId="8" xfId="0" applyNumberFormat="1" applyFont="1" applyFill="1" applyBorder="1" applyAlignment="1">
      <alignment horizontal="center" vertical="top"/>
    </xf>
    <xf numFmtId="4" fontId="27" fillId="0" borderId="1" xfId="0" applyNumberFormat="1" applyFont="1" applyFill="1" applyBorder="1" applyAlignment="1">
      <alignment horizontal="right"/>
    </xf>
    <xf numFmtId="4" fontId="8" fillId="0" borderId="0" xfId="0" applyNumberFormat="1" applyFont="1" applyFill="1" applyAlignment="1">
      <alignment horizontal="left"/>
    </xf>
    <xf numFmtId="0" fontId="8" fillId="0" borderId="0" xfId="0" applyFont="1" applyFill="1" applyAlignment="1">
      <alignment horizontal="center"/>
    </xf>
    <xf numFmtId="4" fontId="8" fillId="0" borderId="0" xfId="0" applyNumberFormat="1" applyFont="1" applyFill="1" applyProtection="1">
      <protection locked="0"/>
    </xf>
    <xf numFmtId="2" fontId="8" fillId="0" borderId="0" xfId="0" applyNumberFormat="1" applyFont="1" applyFill="1" applyAlignment="1">
      <alignment horizontal="right"/>
    </xf>
    <xf numFmtId="0" fontId="8" fillId="0" borderId="0" xfId="0" applyFont="1" applyFill="1" applyAlignment="1">
      <alignment horizontal="right"/>
    </xf>
    <xf numFmtId="0" fontId="29" fillId="0" borderId="1" xfId="0" applyFont="1" applyBorder="1" applyAlignment="1">
      <alignment vertical="top"/>
    </xf>
    <xf numFmtId="0" fontId="29" fillId="0" borderId="1" xfId="0" applyFont="1" applyBorder="1" applyAlignment="1">
      <alignment horizontal="left" vertical="top"/>
    </xf>
    <xf numFmtId="0" fontId="10" fillId="0" borderId="1" xfId="0" applyFont="1" applyBorder="1" applyAlignment="1">
      <alignment horizontal="left" vertical="top" wrapText="1"/>
    </xf>
    <xf numFmtId="4" fontId="12" fillId="0" borderId="1" xfId="4" applyNumberFormat="1" applyFont="1" applyBorder="1" applyAlignment="1" applyProtection="1">
      <alignment horizontal="center"/>
    </xf>
    <xf numFmtId="0" fontId="16" fillId="0" borderId="0" xfId="0" applyFont="1" applyBorder="1" applyAlignment="1">
      <alignment horizontal="left" wrapText="1"/>
    </xf>
    <xf numFmtId="0" fontId="2" fillId="0" borderId="0" xfId="0" applyFont="1" applyFill="1" applyBorder="1" applyAlignment="1">
      <alignment horizontal="left" vertical="top" wrapText="1"/>
    </xf>
    <xf numFmtId="0" fontId="2" fillId="0" borderId="0" xfId="0" applyFont="1" applyBorder="1" applyAlignment="1">
      <alignment horizontal="left" vertical="top" wrapText="1"/>
    </xf>
    <xf numFmtId="0" fontId="8" fillId="0" borderId="1" xfId="0" applyFont="1" applyBorder="1" applyAlignment="1" applyProtection="1">
      <alignment vertical="top"/>
      <protection locked="0"/>
    </xf>
    <xf numFmtId="0" fontId="8" fillId="0" borderId="1" xfId="0" applyFont="1" applyFill="1" applyBorder="1" applyProtection="1">
      <protection locked="0"/>
    </xf>
    <xf numFmtId="0" fontId="8" fillId="0" borderId="1" xfId="0" applyFont="1" applyBorder="1" applyProtection="1">
      <protection locked="0"/>
    </xf>
    <xf numFmtId="0" fontId="8" fillId="0" borderId="9" xfId="0" applyFont="1" applyBorder="1" applyProtection="1">
      <protection locked="0"/>
    </xf>
    <xf numFmtId="0" fontId="27" fillId="0" borderId="1" xfId="0" applyFont="1" applyBorder="1" applyAlignment="1" applyProtection="1">
      <alignment vertical="center"/>
      <protection locked="0"/>
    </xf>
    <xf numFmtId="0" fontId="27" fillId="0" borderId="1" xfId="0" applyFont="1" applyBorder="1" applyAlignment="1" applyProtection="1">
      <alignment horizontal="left" vertical="center"/>
      <protection locked="0"/>
    </xf>
    <xf numFmtId="0" fontId="8" fillId="0" borderId="1" xfId="0" applyFont="1" applyBorder="1" applyAlignment="1" applyProtection="1">
      <alignment horizontal="center" vertical="top" wrapText="1"/>
      <protection locked="0"/>
    </xf>
    <xf numFmtId="0" fontId="8" fillId="0" borderId="1" xfId="0" applyFont="1" applyBorder="1" applyAlignment="1" applyProtection="1">
      <alignment wrapText="1"/>
      <protection locked="0"/>
    </xf>
    <xf numFmtId="4" fontId="8" fillId="0" borderId="1" xfId="0" applyNumberFormat="1" applyFont="1" applyBorder="1" applyAlignment="1" applyProtection="1">
      <alignment wrapText="1"/>
      <protection locked="0"/>
    </xf>
    <xf numFmtId="0" fontId="8" fillId="0" borderId="6" xfId="0" applyFont="1" applyBorder="1" applyAlignment="1" applyProtection="1">
      <alignment wrapText="1"/>
      <protection locked="0"/>
    </xf>
  </cellXfs>
  <cellStyles count="9">
    <cellStyle name="Navadno" xfId="0" builtinId="0"/>
    <cellStyle name="Navadno 2" xfId="3" xr:uid="{00000000-0005-0000-0000-000006000000}"/>
    <cellStyle name="Navadno 3" xfId="8" xr:uid="{2CC45825-E819-485C-8458-316D1BE06DF0}"/>
    <cellStyle name="Navadno_JN 31 grad-2000 disketa" xfId="4" xr:uid="{00000000-0005-0000-0000-000007000000}"/>
    <cellStyle name="Navadno_JN 74grad vodovod" xfId="5" xr:uid="{00000000-0005-0000-0000-000008000000}"/>
    <cellStyle name="Normal 2" xfId="6" xr:uid="{00000000-0005-0000-0000-000009000000}"/>
    <cellStyle name="Normal_kanal S1" xfId="7" xr:uid="{00000000-0005-0000-0000-00000A000000}"/>
    <cellStyle name="Odstotek" xfId="2" builtinId="5"/>
    <cellStyle name="Vejica" xfId="1" builtinId="3"/>
  </cellStyles>
  <dxfs count="1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name val="Times New Roman"/>
        <charset val="238"/>
      </font>
      <fill>
        <patternFill>
          <bgColor rgb="FFFFC7CE"/>
        </patternFill>
      </fill>
    </dxf>
    <dxf>
      <font>
        <color rgb="FF9C0006"/>
        <name val="Times New Roman"/>
        <charset val="238"/>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8000"/>
      <rgbColor rgb="FF000080"/>
      <rgbColor rgb="FF808000"/>
      <rgbColor rgb="FF800080"/>
      <rgbColor rgb="FF008080"/>
      <rgbColor rgb="FFC0C0C0"/>
      <rgbColor rgb="FF808080"/>
      <rgbColor rgb="FF9999FF"/>
      <rgbColor rgb="FF993366"/>
      <rgbColor rgb="FFEBF1DE"/>
      <rgbColor rgb="FFDBEEF4"/>
      <rgbColor rgb="FF660066"/>
      <rgbColor rgb="FFFF8080"/>
      <rgbColor rgb="FF0066CC"/>
      <rgbColor rgb="FFE6E0EC"/>
      <rgbColor rgb="FF000080"/>
      <rgbColor rgb="FFFF00FF"/>
      <rgbColor rgb="FFFFFF00"/>
      <rgbColor rgb="FF00FFFF"/>
      <rgbColor rgb="FF800080"/>
      <rgbColor rgb="FF800000"/>
      <rgbColor rgb="FF008080"/>
      <rgbColor rgb="FF0000FF"/>
      <rgbColor rgb="FF00CCFF"/>
      <rgbColor rgb="FFDCE6F2"/>
      <rgbColor rgb="FFCCFFCC"/>
      <rgbColor rgb="FFFDEADA"/>
      <rgbColor rgb="FF99CCFF"/>
      <rgbColor rgb="FFFF99CC"/>
      <rgbColor rgb="FFCC99FF"/>
      <rgbColor rgb="FFFFC7CE"/>
      <rgbColor rgb="FF3366FF"/>
      <rgbColor rgb="FF33CCCC"/>
      <rgbColor rgb="FF99CC00"/>
      <rgbColor rgb="FFFFCC00"/>
      <rgbColor rgb="FFFF9900"/>
      <rgbColor rgb="FFFF6600"/>
      <rgbColor rgb="FF4F81BD"/>
      <rgbColor rgb="FF969696"/>
      <rgbColor rgb="FF003366"/>
      <rgbColor rgb="FF339966"/>
      <rgbColor rgb="FF003300"/>
      <rgbColor rgb="FF333300"/>
      <rgbColor rgb="FFC9211E"/>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FF"/>
    <pageSetUpPr fitToPage="1"/>
  </sheetPr>
  <dimension ref="A1:AMJ942"/>
  <sheetViews>
    <sheetView tabSelected="1" view="pageBreakPreview" topLeftCell="A40" zoomScale="120" zoomScaleNormal="100" zoomScalePageLayoutView="120" workbookViewId="0">
      <selection activeCell="C42" sqref="C42"/>
    </sheetView>
  </sheetViews>
  <sheetFormatPr defaultColWidth="9.33203125" defaultRowHeight="12.75" x14ac:dyDescent="0.2"/>
  <cols>
    <col min="1" max="1" width="9.6640625" style="1" customWidth="1"/>
    <col min="2" max="2" width="6.83203125" style="2" customWidth="1"/>
    <col min="3" max="3" width="61.5" style="3" customWidth="1"/>
    <col min="4" max="4" width="21.1640625" style="3" customWidth="1"/>
    <col min="5" max="6" width="9.33203125" style="4"/>
    <col min="7" max="1024" width="9.33203125" style="3"/>
  </cols>
  <sheetData>
    <row r="1" spans="1:4" s="7" customFormat="1" ht="13.5" customHeight="1" x14ac:dyDescent="0.2">
      <c r="A1" s="5"/>
      <c r="B1" s="5"/>
      <c r="C1" s="6"/>
      <c r="D1" s="6"/>
    </row>
    <row r="2" spans="1:4" s="7" customFormat="1" ht="13.5" customHeight="1" x14ac:dyDescent="0.2">
      <c r="A2" s="323" t="s">
        <v>0</v>
      </c>
      <c r="B2" s="323"/>
      <c r="C2" s="323"/>
      <c r="D2" s="323"/>
    </row>
    <row r="3" spans="1:4" s="7" customFormat="1" ht="13.5" customHeight="1" x14ac:dyDescent="0.2">
      <c r="A3" s="5"/>
      <c r="B3" s="5"/>
      <c r="C3" s="6"/>
      <c r="D3" s="6"/>
    </row>
    <row r="4" spans="1:4" s="7" customFormat="1" ht="13.5" customHeight="1" x14ac:dyDescent="0.2">
      <c r="A4" s="5"/>
      <c r="B4" s="5"/>
      <c r="C4" s="6"/>
      <c r="D4" s="6"/>
    </row>
    <row r="5" spans="1:4" s="7" customFormat="1" ht="19.899999999999999" customHeight="1" x14ac:dyDescent="0.2">
      <c r="A5" s="5"/>
      <c r="B5" s="8"/>
      <c r="D5" s="8"/>
    </row>
    <row r="6" spans="1:4" s="7" customFormat="1" ht="13.5" customHeight="1" x14ac:dyDescent="0.2">
      <c r="D6" s="6"/>
    </row>
    <row r="7" spans="1:4" s="7" customFormat="1" ht="13.5" customHeight="1" x14ac:dyDescent="0.2">
      <c r="A7" s="5"/>
      <c r="B7" s="5"/>
      <c r="C7" s="6"/>
      <c r="D7" s="6"/>
    </row>
    <row r="8" spans="1:4" s="7" customFormat="1" ht="13.5" customHeight="1" x14ac:dyDescent="0.2">
      <c r="D8" s="6"/>
    </row>
    <row r="9" spans="1:4" s="7" customFormat="1" ht="13.5" customHeight="1" x14ac:dyDescent="0.2">
      <c r="D9" s="6"/>
    </row>
    <row r="10" spans="1:4" s="7" customFormat="1" ht="13.5" customHeight="1" x14ac:dyDescent="0.2">
      <c r="D10" s="6"/>
    </row>
    <row r="11" spans="1:4" s="9" customFormat="1" x14ac:dyDescent="0.2">
      <c r="D11" s="10"/>
    </row>
    <row r="12" spans="1:4" s="9" customFormat="1" ht="13.5" customHeight="1" x14ac:dyDescent="0.2">
      <c r="D12" s="10"/>
    </row>
    <row r="13" spans="1:4" s="9" customFormat="1" x14ac:dyDescent="0.2">
      <c r="D13" s="10"/>
    </row>
    <row r="14" spans="1:4" s="9" customFormat="1" ht="13.5" customHeight="1" x14ac:dyDescent="0.2">
      <c r="D14" s="10"/>
    </row>
    <row r="15" spans="1:4" s="9" customFormat="1" ht="13.5" customHeight="1" x14ac:dyDescent="0.25">
      <c r="C15" s="11" t="s">
        <v>1</v>
      </c>
      <c r="D15" s="10"/>
    </row>
    <row r="16" spans="1:4" s="9" customFormat="1" ht="13.5" customHeight="1" x14ac:dyDescent="0.2">
      <c r="A16" s="12"/>
      <c r="B16" s="13"/>
      <c r="C16" s="14"/>
      <c r="D16" s="15"/>
    </row>
    <row r="17" spans="1:4" s="9" customFormat="1" ht="13.5" customHeight="1" x14ac:dyDescent="0.2">
      <c r="D17" s="16"/>
    </row>
    <row r="18" spans="1:4" s="9" customFormat="1" ht="13.5" customHeight="1" x14ac:dyDescent="0.2">
      <c r="D18" s="15"/>
    </row>
    <row r="19" spans="1:4" s="9" customFormat="1" ht="13.5" customHeight="1" x14ac:dyDescent="0.2">
      <c r="A19" s="17"/>
      <c r="B19" s="17"/>
      <c r="D19" s="10"/>
    </row>
    <row r="20" spans="1:4" s="9" customFormat="1" ht="13.5" customHeight="1" x14ac:dyDescent="0.2">
      <c r="A20" s="17"/>
      <c r="B20" s="17"/>
      <c r="D20" s="10"/>
    </row>
    <row r="21" spans="1:4" s="9" customFormat="1" ht="13.5" customHeight="1" x14ac:dyDescent="0.2">
      <c r="A21" s="17"/>
      <c r="B21" s="17"/>
      <c r="C21" s="17"/>
      <c r="D21" s="10"/>
    </row>
    <row r="22" spans="1:4" s="9" customFormat="1" ht="13.5" customHeight="1" x14ac:dyDescent="0.2">
      <c r="A22" s="12"/>
      <c r="B22" s="13"/>
      <c r="C22" s="17"/>
      <c r="D22" s="10"/>
    </row>
    <row r="23" spans="1:4" s="9" customFormat="1" ht="13.5" customHeight="1" x14ac:dyDescent="0.2">
      <c r="A23" s="12"/>
      <c r="B23" s="13"/>
      <c r="C23" s="18"/>
      <c r="D23" s="10"/>
    </row>
    <row r="24" spans="1:4" s="9" customFormat="1" ht="13.5" customHeight="1" x14ac:dyDescent="0.2">
      <c r="D24" s="19"/>
    </row>
    <row r="25" spans="1:4" s="9" customFormat="1" ht="13.5" customHeight="1" x14ac:dyDescent="0.2">
      <c r="D25" s="19"/>
    </row>
    <row r="26" spans="1:4" s="9" customFormat="1" ht="13.5" customHeight="1" x14ac:dyDescent="0.2">
      <c r="D26" s="20"/>
    </row>
    <row r="27" spans="1:4" s="9" customFormat="1" ht="13.5" customHeight="1" x14ac:dyDescent="0.2">
      <c r="D27" s="20"/>
    </row>
    <row r="28" spans="1:4" s="9" customFormat="1" ht="13.5" customHeight="1" x14ac:dyDescent="0.2">
      <c r="D28" s="20"/>
    </row>
    <row r="29" spans="1:4" s="9" customFormat="1" ht="13.5" customHeight="1" x14ac:dyDescent="0.2">
      <c r="D29" s="20"/>
    </row>
    <row r="30" spans="1:4" s="9" customFormat="1" ht="13.5" customHeight="1" x14ac:dyDescent="0.2">
      <c r="A30" s="12" t="s">
        <v>2</v>
      </c>
      <c r="B30" s="13"/>
      <c r="C30" s="21" t="s">
        <v>3</v>
      </c>
      <c r="D30" s="20"/>
    </row>
    <row r="31" spans="1:4" s="9" customFormat="1" ht="13.5" customHeight="1" x14ac:dyDescent="0.2">
      <c r="C31" s="21" t="s">
        <v>4</v>
      </c>
      <c r="D31" s="16"/>
    </row>
    <row r="32" spans="1:4" s="9" customFormat="1" ht="13.5" customHeight="1" x14ac:dyDescent="0.2">
      <c r="C32" s="21" t="s">
        <v>5</v>
      </c>
      <c r="D32" s="20"/>
    </row>
    <row r="33" spans="1:4" s="9" customFormat="1" ht="13.5" customHeight="1" x14ac:dyDescent="0.2">
      <c r="D33" s="20"/>
    </row>
    <row r="34" spans="1:4" s="9" customFormat="1" ht="13.5" customHeight="1" x14ac:dyDescent="0.2">
      <c r="A34" s="12"/>
      <c r="B34" s="13"/>
      <c r="C34" s="19"/>
      <c r="D34" s="20"/>
    </row>
    <row r="35" spans="1:4" s="9" customFormat="1" ht="39.75" customHeight="1" x14ac:dyDescent="0.2">
      <c r="A35" s="12" t="s">
        <v>6</v>
      </c>
      <c r="B35" s="16"/>
      <c r="C35" s="22" t="s">
        <v>7</v>
      </c>
      <c r="D35" s="20"/>
    </row>
    <row r="36" spans="1:4" s="9" customFormat="1" ht="13.5" customHeight="1" x14ac:dyDescent="0.2">
      <c r="A36" s="23"/>
      <c r="B36" s="13"/>
      <c r="C36" s="20"/>
      <c r="D36" s="20"/>
    </row>
    <row r="37" spans="1:4" s="9" customFormat="1" ht="13.5" customHeight="1" x14ac:dyDescent="0.2">
      <c r="A37" s="23"/>
      <c r="B37" s="13"/>
      <c r="C37" s="20"/>
      <c r="D37" s="20"/>
    </row>
    <row r="38" spans="1:4" s="9" customFormat="1" ht="13.5" customHeight="1" x14ac:dyDescent="0.2">
      <c r="A38" s="23"/>
      <c r="B38" s="13"/>
      <c r="C38" s="20"/>
      <c r="D38" s="20"/>
    </row>
    <row r="39" spans="1:4" s="9" customFormat="1" ht="13.5" customHeight="1" x14ac:dyDescent="0.2">
      <c r="A39" s="12"/>
      <c r="D39" s="20"/>
    </row>
    <row r="40" spans="1:4" s="9" customFormat="1" ht="13.5" customHeight="1" x14ac:dyDescent="0.2">
      <c r="A40" s="17"/>
      <c r="B40" s="24"/>
      <c r="C40" s="25"/>
      <c r="D40" s="20"/>
    </row>
    <row r="41" spans="1:4" s="9" customFormat="1" ht="13.5" customHeight="1" x14ac:dyDescent="0.2">
      <c r="D41" s="20"/>
    </row>
    <row r="42" spans="1:4" s="9" customFormat="1" ht="13.5" customHeight="1" x14ac:dyDescent="0.2">
      <c r="A42" s="12" t="s">
        <v>8</v>
      </c>
      <c r="B42" s="17"/>
      <c r="C42" s="26" t="s">
        <v>9</v>
      </c>
      <c r="D42" s="20"/>
    </row>
    <row r="43" spans="1:4" s="9" customFormat="1" ht="13.5" customHeight="1" x14ac:dyDescent="0.2">
      <c r="A43" s="12" t="s">
        <v>10</v>
      </c>
      <c r="B43" s="13"/>
      <c r="C43" s="19" t="s">
        <v>11</v>
      </c>
      <c r="D43" s="16"/>
    </row>
    <row r="44" spans="1:4" s="7" customFormat="1" ht="13.5" customHeight="1" x14ac:dyDescent="0.2">
      <c r="A44" s="12" t="s">
        <v>12</v>
      </c>
      <c r="B44" s="13"/>
      <c r="C44" s="19" t="s">
        <v>655</v>
      </c>
      <c r="D44" s="6"/>
    </row>
    <row r="45" spans="1:4" s="7" customFormat="1" ht="13.5" customHeight="1" x14ac:dyDescent="0.2">
      <c r="A45" s="12"/>
      <c r="B45" s="13"/>
      <c r="C45" s="20"/>
      <c r="D45" s="6"/>
    </row>
    <row r="46" spans="1:4" s="9" customFormat="1" ht="13.5" customHeight="1" x14ac:dyDescent="0.2">
      <c r="A46" s="19" t="s">
        <v>13</v>
      </c>
      <c r="B46" s="17"/>
      <c r="C46" s="27">
        <v>44460</v>
      </c>
      <c r="D46" s="20"/>
    </row>
    <row r="47" spans="1:4" s="9" customFormat="1" ht="13.5" customHeight="1" x14ac:dyDescent="0.25">
      <c r="A47" s="324" t="s">
        <v>14</v>
      </c>
      <c r="B47" s="324"/>
      <c r="C47" s="324"/>
      <c r="D47" s="324"/>
    </row>
    <row r="48" spans="1:4" s="9" customFormat="1" ht="13.5" customHeight="1" x14ac:dyDescent="0.2">
      <c r="A48" s="28"/>
      <c r="B48" s="28"/>
      <c r="C48" s="10"/>
    </row>
    <row r="49" spans="1:4" s="9" customFormat="1" ht="13.5" customHeight="1" x14ac:dyDescent="0.2">
      <c r="A49" s="29"/>
      <c r="B49" s="30"/>
      <c r="C49" s="10"/>
    </row>
    <row r="50" spans="1:4" s="9" customFormat="1" ht="13.5" customHeight="1" x14ac:dyDescent="0.2">
      <c r="A50" s="31" t="s">
        <v>15</v>
      </c>
      <c r="B50" s="32" t="s">
        <v>16</v>
      </c>
      <c r="D50" s="33">
        <f>+'0-Preddela'!G16</f>
        <v>0</v>
      </c>
    </row>
    <row r="51" spans="1:4" s="9" customFormat="1" ht="13.5" customHeight="1" x14ac:dyDescent="0.2">
      <c r="A51" s="31"/>
      <c r="B51" s="30"/>
      <c r="D51" s="10"/>
    </row>
    <row r="52" spans="1:4" s="9" customFormat="1" ht="13.5" customHeight="1" x14ac:dyDescent="0.2">
      <c r="A52" s="34" t="s">
        <v>17</v>
      </c>
      <c r="B52" s="35" t="s">
        <v>18</v>
      </c>
      <c r="D52" s="33">
        <f>+'Odsek 1'!G10</f>
        <v>0</v>
      </c>
    </row>
    <row r="53" spans="1:4" s="9" customFormat="1" ht="13.5" customHeight="1" x14ac:dyDescent="0.2">
      <c r="A53" s="36"/>
      <c r="B53" s="37" t="s">
        <v>19</v>
      </c>
      <c r="D53" s="38"/>
    </row>
    <row r="54" spans="1:4" s="9" customFormat="1" ht="13.5" customHeight="1" x14ac:dyDescent="0.2">
      <c r="A54" s="36"/>
      <c r="B54" s="37"/>
      <c r="D54" s="38"/>
    </row>
    <row r="55" spans="1:4" s="9" customFormat="1" ht="13.5" customHeight="1" x14ac:dyDescent="0.2">
      <c r="A55" s="34" t="s">
        <v>20</v>
      </c>
      <c r="B55" s="35" t="s">
        <v>21</v>
      </c>
      <c r="D55" s="33">
        <f>+'Odsek 2'!G10</f>
        <v>0</v>
      </c>
    </row>
    <row r="56" spans="1:4" s="9" customFormat="1" ht="13.5" customHeight="1" x14ac:dyDescent="0.2">
      <c r="A56" s="36"/>
      <c r="B56" s="37" t="s">
        <v>22</v>
      </c>
      <c r="D56" s="38"/>
    </row>
    <row r="57" spans="1:4" s="9" customFormat="1" ht="13.5" customHeight="1" x14ac:dyDescent="0.2">
      <c r="A57" s="36"/>
      <c r="B57" s="37"/>
      <c r="D57" s="38"/>
    </row>
    <row r="58" spans="1:4" s="9" customFormat="1" ht="13.5" customHeight="1" x14ac:dyDescent="0.2">
      <c r="A58" s="34" t="s">
        <v>23</v>
      </c>
      <c r="B58" s="35" t="s">
        <v>24</v>
      </c>
      <c r="D58" s="33">
        <f>+'Odsek 3'!G10</f>
        <v>0</v>
      </c>
    </row>
    <row r="59" spans="1:4" s="9" customFormat="1" ht="13.5" customHeight="1" x14ac:dyDescent="0.2">
      <c r="A59" s="34"/>
      <c r="B59" s="37"/>
      <c r="D59" s="39"/>
    </row>
    <row r="60" spans="1:4" s="9" customFormat="1" ht="13.5" customHeight="1" x14ac:dyDescent="0.2">
      <c r="A60" s="34" t="s">
        <v>25</v>
      </c>
      <c r="B60" s="35" t="s">
        <v>26</v>
      </c>
      <c r="D60" s="33">
        <f>+'Odsek 4'!G10</f>
        <v>0</v>
      </c>
    </row>
    <row r="61" spans="1:4" s="9" customFormat="1" ht="13.5" customHeight="1" x14ac:dyDescent="0.2">
      <c r="A61" s="34"/>
      <c r="B61" s="35"/>
      <c r="D61" s="39"/>
    </row>
    <row r="62" spans="1:4" s="9" customFormat="1" ht="13.5" customHeight="1" x14ac:dyDescent="0.2">
      <c r="A62" s="34" t="s">
        <v>27</v>
      </c>
      <c r="B62" s="35" t="s">
        <v>28</v>
      </c>
      <c r="D62" s="33">
        <f>+'5 Črp-gradbeni in strojni'!G10</f>
        <v>0</v>
      </c>
    </row>
    <row r="63" spans="1:4" s="9" customFormat="1" ht="13.5" customHeight="1" x14ac:dyDescent="0.2">
      <c r="A63" s="34"/>
      <c r="B63" s="35"/>
      <c r="D63" s="39"/>
    </row>
    <row r="64" spans="1:4" s="9" customFormat="1" ht="13.5" customHeight="1" x14ac:dyDescent="0.2">
      <c r="A64" s="40" t="s">
        <v>29</v>
      </c>
      <c r="B64" s="41" t="s">
        <v>30</v>
      </c>
      <c r="C64" s="42"/>
      <c r="D64" s="43">
        <f>+'6 Črp-elektro instalacije'!F6</f>
        <v>0</v>
      </c>
    </row>
    <row r="65" spans="1:10" ht="13.5" customHeight="1" x14ac:dyDescent="0.2">
      <c r="A65" s="44"/>
      <c r="B65" s="3"/>
      <c r="C65" s="44"/>
      <c r="D65" s="45"/>
      <c r="G65" s="46"/>
      <c r="H65" s="9"/>
      <c r="I65" s="9"/>
      <c r="J65" s="47"/>
    </row>
    <row r="66" spans="1:10" ht="13.5" customHeight="1" x14ac:dyDescent="0.2">
      <c r="A66" s="10" t="s">
        <v>31</v>
      </c>
      <c r="B66" s="3"/>
      <c r="C66" s="10"/>
      <c r="D66" s="33">
        <f>SUM(D50:D64)</f>
        <v>0</v>
      </c>
      <c r="G66" s="46"/>
      <c r="H66" s="9"/>
      <c r="I66" s="48"/>
      <c r="J66" s="49"/>
    </row>
    <row r="67" spans="1:10" ht="13.5" customHeight="1" x14ac:dyDescent="0.2">
      <c r="A67" s="28"/>
      <c r="B67" s="3"/>
      <c r="C67" s="28"/>
      <c r="D67" s="50"/>
      <c r="G67" s="46"/>
      <c r="H67" s="51"/>
      <c r="I67" s="51"/>
      <c r="J67" s="47"/>
    </row>
    <row r="68" spans="1:10" ht="13.5" customHeight="1" x14ac:dyDescent="0.2">
      <c r="A68" s="10" t="s">
        <v>32</v>
      </c>
      <c r="B68" s="3"/>
      <c r="C68" s="10"/>
      <c r="D68" s="33">
        <f>+D66*0.22</f>
        <v>0</v>
      </c>
      <c r="G68" s="46"/>
      <c r="H68" s="52"/>
      <c r="I68" s="52"/>
      <c r="J68" s="47"/>
    </row>
    <row r="69" spans="1:10" ht="13.5" customHeight="1" x14ac:dyDescent="0.2">
      <c r="A69" s="53"/>
      <c r="B69" s="54"/>
      <c r="C69" s="53"/>
      <c r="D69" s="55"/>
      <c r="G69" s="46"/>
      <c r="H69" s="52"/>
      <c r="I69" s="52"/>
      <c r="J69" s="49"/>
    </row>
    <row r="70" spans="1:10" ht="13.5" customHeight="1" x14ac:dyDescent="0.2">
      <c r="A70" s="28"/>
      <c r="B70" s="3"/>
      <c r="C70" s="28"/>
      <c r="D70" s="56"/>
      <c r="G70" s="46"/>
      <c r="H70" s="51"/>
      <c r="I70" s="51"/>
      <c r="J70" s="47"/>
    </row>
    <row r="71" spans="1:10" ht="13.5" customHeight="1" x14ac:dyDescent="0.2">
      <c r="A71" s="57" t="s">
        <v>33</v>
      </c>
      <c r="B71" s="3"/>
      <c r="C71" s="57"/>
      <c r="D71" s="58">
        <f>SUM(D66:D68)</f>
        <v>0</v>
      </c>
      <c r="G71" s="46"/>
      <c r="H71" s="59"/>
      <c r="I71" s="59"/>
      <c r="J71" s="47"/>
    </row>
    <row r="72" spans="1:10" ht="13.5" customHeight="1" x14ac:dyDescent="0.2">
      <c r="A72" s="60"/>
      <c r="B72" s="60"/>
      <c r="C72" s="60"/>
      <c r="D72" s="55"/>
      <c r="G72" s="61"/>
      <c r="H72" s="325"/>
      <c r="I72" s="325"/>
      <c r="J72" s="325"/>
    </row>
    <row r="73" spans="1:10" ht="13.5" customHeight="1" x14ac:dyDescent="0.2">
      <c r="A73" s="62"/>
      <c r="B73" s="63"/>
      <c r="C73" s="63"/>
      <c r="D73" s="64"/>
      <c r="G73" s="61"/>
      <c r="H73" s="65"/>
      <c r="I73" s="65"/>
      <c r="J73" s="66"/>
    </row>
    <row r="74" spans="1:10" ht="97.5" customHeight="1" x14ac:dyDescent="0.2">
      <c r="A74" s="62"/>
      <c r="B74" s="67"/>
      <c r="C74" s="68"/>
      <c r="D74" s="68"/>
    </row>
    <row r="75" spans="1:10" ht="13.5" customHeight="1" x14ac:dyDescent="0.2">
      <c r="A75" s="62"/>
      <c r="B75" s="67"/>
      <c r="C75" s="69"/>
      <c r="D75" s="69"/>
    </row>
    <row r="76" spans="1:10" ht="13.5" customHeight="1" x14ac:dyDescent="0.2">
      <c r="A76" s="62"/>
      <c r="B76" s="67"/>
      <c r="C76" s="69"/>
      <c r="D76" s="69"/>
    </row>
    <row r="77" spans="1:10" ht="13.5" customHeight="1" x14ac:dyDescent="0.2">
      <c r="A77" s="70" t="s">
        <v>34</v>
      </c>
      <c r="B77" s="67"/>
      <c r="C77" s="68"/>
      <c r="D77" s="71">
        <v>760</v>
      </c>
    </row>
    <row r="78" spans="1:10" ht="13.5" customHeight="1" x14ac:dyDescent="0.2">
      <c r="A78" s="62"/>
      <c r="B78" s="67"/>
      <c r="C78" s="69" t="s">
        <v>35</v>
      </c>
      <c r="D78" s="72">
        <f>+D66/D77</f>
        <v>0</v>
      </c>
    </row>
    <row r="79" spans="1:10" ht="13.5" customHeight="1" x14ac:dyDescent="0.2">
      <c r="A79" s="62"/>
      <c r="B79" s="67"/>
      <c r="C79" s="68"/>
      <c r="D79" s="68"/>
    </row>
    <row r="80" spans="1:10" ht="13.5" customHeight="1" x14ac:dyDescent="0.2">
      <c r="A80" s="62"/>
      <c r="B80" s="67"/>
      <c r="C80" s="69"/>
      <c r="D80" s="69"/>
    </row>
    <row r="81" spans="1:4" ht="13.5" customHeight="1" x14ac:dyDescent="0.2">
      <c r="A81" s="62"/>
      <c r="B81" s="67"/>
      <c r="C81" s="69"/>
      <c r="D81" s="69"/>
    </row>
    <row r="82" spans="1:4" ht="13.5" customHeight="1" x14ac:dyDescent="0.2">
      <c r="A82" s="62"/>
      <c r="B82" s="67"/>
      <c r="C82" s="68"/>
      <c r="D82" s="68"/>
    </row>
    <row r="83" spans="1:4" ht="13.5" customHeight="1" x14ac:dyDescent="0.2">
      <c r="A83" s="62"/>
      <c r="B83" s="67"/>
      <c r="C83" s="69"/>
      <c r="D83" s="69"/>
    </row>
    <row r="84" spans="1:4" ht="13.5" customHeight="1" x14ac:dyDescent="0.2">
      <c r="A84" s="62"/>
      <c r="B84" s="67"/>
      <c r="C84" s="68"/>
      <c r="D84" s="68"/>
    </row>
    <row r="85" spans="1:4" ht="13.5" customHeight="1" x14ac:dyDescent="0.2">
      <c r="A85" s="62"/>
      <c r="B85" s="67"/>
      <c r="C85" s="68"/>
      <c r="D85" s="68"/>
    </row>
    <row r="86" spans="1:4" ht="13.5" customHeight="1" x14ac:dyDescent="0.2">
      <c r="A86" s="62"/>
      <c r="B86" s="67"/>
      <c r="C86" s="68"/>
      <c r="D86" s="68"/>
    </row>
    <row r="87" spans="1:4" ht="13.5" customHeight="1" x14ac:dyDescent="0.2">
      <c r="A87" s="62"/>
      <c r="B87" s="67"/>
      <c r="C87" s="68"/>
      <c r="D87" s="68"/>
    </row>
    <row r="88" spans="1:4" ht="13.5" customHeight="1" x14ac:dyDescent="0.2">
      <c r="A88" s="62"/>
      <c r="B88" s="67"/>
      <c r="C88" s="69"/>
      <c r="D88" s="69"/>
    </row>
    <row r="89" spans="1:4" ht="13.5" customHeight="1" x14ac:dyDescent="0.2">
      <c r="A89" s="62"/>
      <c r="B89" s="67"/>
      <c r="C89" s="68"/>
      <c r="D89" s="68"/>
    </row>
    <row r="90" spans="1:4" ht="13.5" customHeight="1" x14ac:dyDescent="0.2">
      <c r="A90" s="62"/>
      <c r="B90" s="67"/>
      <c r="C90" s="69"/>
      <c r="D90" s="69"/>
    </row>
    <row r="91" spans="1:4" ht="13.5" customHeight="1" x14ac:dyDescent="0.2">
      <c r="A91" s="62"/>
      <c r="B91" s="67"/>
      <c r="C91" s="68"/>
      <c r="D91" s="68"/>
    </row>
    <row r="92" spans="1:4" ht="13.5" customHeight="1" x14ac:dyDescent="0.2">
      <c r="A92" s="62"/>
      <c r="B92" s="67"/>
      <c r="C92" s="69"/>
      <c r="D92" s="69"/>
    </row>
    <row r="93" spans="1:4" ht="13.5" customHeight="1" x14ac:dyDescent="0.2">
      <c r="A93" s="62"/>
      <c r="B93" s="67"/>
      <c r="C93" s="68"/>
      <c r="D93" s="68"/>
    </row>
    <row r="94" spans="1:4" ht="13.5" customHeight="1" x14ac:dyDescent="0.2">
      <c r="A94" s="62"/>
      <c r="B94" s="67"/>
      <c r="C94" s="69"/>
      <c r="D94" s="69"/>
    </row>
    <row r="95" spans="1:4" ht="13.5" customHeight="1" x14ac:dyDescent="0.2">
      <c r="A95" s="62"/>
      <c r="B95" s="67"/>
      <c r="C95" s="69"/>
      <c r="D95" s="69"/>
    </row>
    <row r="96" spans="1:4" ht="13.5" customHeight="1" x14ac:dyDescent="0.2">
      <c r="A96" s="62"/>
      <c r="B96" s="67"/>
      <c r="C96" s="68"/>
      <c r="D96" s="68"/>
    </row>
    <row r="97" spans="1:4" ht="13.5" customHeight="1" x14ac:dyDescent="0.2">
      <c r="A97" s="62"/>
      <c r="B97" s="67"/>
      <c r="C97" s="69"/>
      <c r="D97" s="69"/>
    </row>
    <row r="98" spans="1:4" ht="13.5" customHeight="1" x14ac:dyDescent="0.2">
      <c r="A98" s="62"/>
      <c r="B98" s="67"/>
      <c r="C98" s="69"/>
      <c r="D98" s="69"/>
    </row>
    <row r="99" spans="1:4" ht="13.5" customHeight="1" x14ac:dyDescent="0.2">
      <c r="A99" s="62"/>
      <c r="B99" s="67"/>
      <c r="C99" s="68"/>
      <c r="D99" s="68"/>
    </row>
    <row r="100" spans="1:4" ht="13.5" customHeight="1" x14ac:dyDescent="0.2">
      <c r="A100" s="62"/>
      <c r="B100" s="67"/>
      <c r="C100" s="69"/>
      <c r="D100" s="69"/>
    </row>
    <row r="101" spans="1:4" ht="13.5" customHeight="1" x14ac:dyDescent="0.2">
      <c r="A101" s="62"/>
      <c r="B101" s="67"/>
      <c r="C101" s="68"/>
      <c r="D101" s="68"/>
    </row>
    <row r="102" spans="1:4" ht="13.5" customHeight="1" x14ac:dyDescent="0.2">
      <c r="A102" s="62"/>
      <c r="B102" s="67"/>
      <c r="C102" s="68"/>
      <c r="D102" s="68"/>
    </row>
    <row r="103" spans="1:4" ht="13.5" customHeight="1" x14ac:dyDescent="0.2">
      <c r="A103" s="62"/>
      <c r="B103" s="67"/>
      <c r="C103" s="68"/>
      <c r="D103" s="68"/>
    </row>
    <row r="104" spans="1:4" ht="13.5" customHeight="1" x14ac:dyDescent="0.2">
      <c r="A104" s="62"/>
      <c r="B104" s="67"/>
      <c r="C104" s="68"/>
      <c r="D104" s="68"/>
    </row>
    <row r="105" spans="1:4" ht="13.5" customHeight="1" x14ac:dyDescent="0.2">
      <c r="A105" s="62"/>
      <c r="B105" s="67"/>
      <c r="C105" s="68"/>
      <c r="D105" s="68"/>
    </row>
    <row r="106" spans="1:4" ht="13.5" customHeight="1" x14ac:dyDescent="0.2">
      <c r="A106" s="62"/>
      <c r="B106" s="67"/>
      <c r="C106" s="68"/>
      <c r="D106" s="68"/>
    </row>
    <row r="107" spans="1:4" ht="13.5" customHeight="1" x14ac:dyDescent="0.2">
      <c r="A107" s="62"/>
      <c r="B107" s="67"/>
      <c r="C107" s="69"/>
      <c r="D107" s="69"/>
    </row>
    <row r="108" spans="1:4" ht="13.5" customHeight="1" x14ac:dyDescent="0.2">
      <c r="A108" s="62"/>
      <c r="B108" s="67"/>
      <c r="C108" s="69"/>
      <c r="D108" s="69"/>
    </row>
    <row r="109" spans="1:4" ht="13.5" customHeight="1" x14ac:dyDescent="0.2">
      <c r="A109" s="62"/>
      <c r="B109" s="67"/>
      <c r="C109" s="68"/>
      <c r="D109" s="68"/>
    </row>
    <row r="110" spans="1:4" ht="13.5" customHeight="1" x14ac:dyDescent="0.2">
      <c r="A110" s="62"/>
      <c r="B110" s="67"/>
      <c r="C110" s="68"/>
      <c r="D110" s="68"/>
    </row>
    <row r="111" spans="1:4" ht="13.5" customHeight="1" x14ac:dyDescent="0.2">
      <c r="A111" s="62"/>
      <c r="B111" s="67"/>
      <c r="C111" s="69"/>
      <c r="D111" s="69"/>
    </row>
    <row r="112" spans="1:4" ht="13.5" customHeight="1" x14ac:dyDescent="0.2">
      <c r="A112" s="62"/>
      <c r="B112" s="67"/>
      <c r="C112" s="69"/>
      <c r="D112" s="69"/>
    </row>
    <row r="113" spans="1:6" ht="13.5" customHeight="1" x14ac:dyDescent="0.2">
      <c r="A113" s="62"/>
      <c r="B113" s="67"/>
      <c r="C113" s="68"/>
      <c r="D113" s="68"/>
    </row>
    <row r="114" spans="1:6" ht="13.5" customHeight="1" x14ac:dyDescent="0.2">
      <c r="A114" s="62"/>
      <c r="B114" s="67"/>
      <c r="C114" s="69"/>
      <c r="D114" s="69"/>
    </row>
    <row r="115" spans="1:6" ht="13.5" customHeight="1" x14ac:dyDescent="0.2">
      <c r="A115" s="62"/>
      <c r="B115" s="67"/>
      <c r="C115" s="69"/>
      <c r="D115" s="69"/>
    </row>
    <row r="116" spans="1:6" ht="13.5" customHeight="1" x14ac:dyDescent="0.2">
      <c r="A116" s="62"/>
      <c r="B116" s="67"/>
      <c r="C116" s="68"/>
      <c r="D116" s="68"/>
    </row>
    <row r="117" spans="1:6" ht="13.5" customHeight="1" x14ac:dyDescent="0.2">
      <c r="A117" s="62"/>
      <c r="B117" s="67"/>
      <c r="C117" s="69"/>
      <c r="D117" s="69"/>
    </row>
    <row r="118" spans="1:6" ht="13.5" customHeight="1" x14ac:dyDescent="0.2">
      <c r="A118" s="62"/>
      <c r="B118" s="67"/>
      <c r="C118" s="68"/>
      <c r="D118" s="68"/>
    </row>
    <row r="119" spans="1:6" ht="13.5" customHeight="1" x14ac:dyDescent="0.2">
      <c r="A119" s="62"/>
      <c r="B119" s="67"/>
      <c r="C119" s="68"/>
      <c r="D119" s="68"/>
    </row>
    <row r="120" spans="1:6" ht="13.5" customHeight="1" x14ac:dyDescent="0.2">
      <c r="A120" s="62"/>
      <c r="B120" s="67"/>
      <c r="C120" s="69"/>
      <c r="D120" s="69"/>
    </row>
    <row r="121" spans="1:6" ht="13.5" customHeight="1" x14ac:dyDescent="0.2">
      <c r="A121" s="62"/>
      <c r="B121" s="67"/>
      <c r="C121" s="69"/>
      <c r="D121" s="69"/>
    </row>
    <row r="122" spans="1:6" ht="13.5" customHeight="1" x14ac:dyDescent="0.2">
      <c r="A122" s="62"/>
      <c r="B122" s="67"/>
      <c r="C122" s="69"/>
      <c r="D122" s="69"/>
    </row>
    <row r="123" spans="1:6" s="75" customFormat="1" ht="13.5" customHeight="1" x14ac:dyDescent="0.2">
      <c r="A123" s="73"/>
      <c r="B123" s="67"/>
      <c r="C123" s="69"/>
      <c r="D123" s="69"/>
      <c r="E123" s="74"/>
      <c r="F123" s="74"/>
    </row>
    <row r="124" spans="1:6" ht="13.5" customHeight="1" x14ac:dyDescent="0.2">
      <c r="A124" s="62"/>
      <c r="B124" s="67"/>
      <c r="C124" s="69"/>
      <c r="D124" s="69"/>
    </row>
    <row r="125" spans="1:6" ht="13.5" customHeight="1" x14ac:dyDescent="0.2">
      <c r="A125" s="62"/>
      <c r="B125" s="67"/>
      <c r="C125" s="69"/>
      <c r="D125" s="69"/>
    </row>
    <row r="126" spans="1:6" ht="13.5" customHeight="1" x14ac:dyDescent="0.2">
      <c r="A126" s="62"/>
      <c r="B126" s="67"/>
      <c r="C126" s="69"/>
      <c r="D126" s="69"/>
    </row>
    <row r="127" spans="1:6" ht="13.5" customHeight="1" x14ac:dyDescent="0.2">
      <c r="A127" s="62"/>
      <c r="B127" s="67"/>
      <c r="C127" s="69"/>
      <c r="D127" s="69"/>
    </row>
    <row r="128" spans="1:6" ht="13.5" customHeight="1" x14ac:dyDescent="0.2">
      <c r="A128" s="62"/>
      <c r="B128" s="67"/>
      <c r="C128" s="69"/>
      <c r="D128" s="69"/>
    </row>
    <row r="129" spans="1:4" ht="13.5" customHeight="1" x14ac:dyDescent="0.2">
      <c r="A129" s="62"/>
      <c r="B129" s="67"/>
      <c r="C129" s="69"/>
      <c r="D129" s="69"/>
    </row>
    <row r="130" spans="1:4" ht="13.5" customHeight="1" x14ac:dyDescent="0.2">
      <c r="A130" s="62"/>
      <c r="B130" s="67"/>
      <c r="C130" s="68"/>
      <c r="D130" s="68"/>
    </row>
    <row r="131" spans="1:4" ht="13.5" customHeight="1" x14ac:dyDescent="0.2">
      <c r="A131" s="62"/>
      <c r="B131" s="67"/>
      <c r="C131" s="68"/>
      <c r="D131" s="68"/>
    </row>
    <row r="132" spans="1:4" ht="13.5" customHeight="1" x14ac:dyDescent="0.2">
      <c r="A132" s="62"/>
      <c r="B132" s="67"/>
      <c r="C132" s="69"/>
      <c r="D132" s="69"/>
    </row>
    <row r="133" spans="1:4" ht="13.5" customHeight="1" x14ac:dyDescent="0.2">
      <c r="A133" s="62"/>
      <c r="B133" s="67"/>
      <c r="C133" s="69"/>
      <c r="D133" s="69"/>
    </row>
    <row r="134" spans="1:4" ht="13.5" customHeight="1" x14ac:dyDescent="0.2">
      <c r="A134" s="62"/>
      <c r="B134" s="67"/>
      <c r="C134" s="68"/>
      <c r="D134" s="68"/>
    </row>
    <row r="135" spans="1:4" ht="13.5" customHeight="1" x14ac:dyDescent="0.2">
      <c r="A135" s="62"/>
      <c r="B135" s="67"/>
      <c r="C135" s="69"/>
      <c r="D135" s="69"/>
    </row>
    <row r="136" spans="1:4" ht="13.5" customHeight="1" x14ac:dyDescent="0.2">
      <c r="A136" s="62"/>
      <c r="B136" s="67"/>
      <c r="C136" s="69"/>
      <c r="D136" s="69"/>
    </row>
    <row r="137" spans="1:4" ht="13.5" customHeight="1" x14ac:dyDescent="0.2">
      <c r="A137" s="62"/>
      <c r="B137" s="67"/>
      <c r="C137" s="68"/>
      <c r="D137" s="68"/>
    </row>
    <row r="138" spans="1:4" ht="13.5" customHeight="1" x14ac:dyDescent="0.2">
      <c r="A138" s="62"/>
      <c r="B138" s="67"/>
      <c r="C138" s="69"/>
      <c r="D138" s="69"/>
    </row>
    <row r="139" spans="1:4" ht="13.5" customHeight="1" x14ac:dyDescent="0.2">
      <c r="A139" s="62"/>
      <c r="B139" s="67"/>
      <c r="C139" s="68"/>
      <c r="D139" s="68"/>
    </row>
    <row r="140" spans="1:4" ht="13.5" customHeight="1" x14ac:dyDescent="0.2">
      <c r="A140" s="62"/>
      <c r="B140" s="67"/>
      <c r="C140" s="69"/>
      <c r="D140" s="69"/>
    </row>
    <row r="141" spans="1:4" ht="13.5" customHeight="1" x14ac:dyDescent="0.2">
      <c r="A141" s="62"/>
      <c r="B141" s="67"/>
      <c r="C141" s="69"/>
      <c r="D141" s="69"/>
    </row>
    <row r="142" spans="1:4" ht="13.5" customHeight="1" x14ac:dyDescent="0.2">
      <c r="A142" s="62"/>
      <c r="B142" s="76"/>
      <c r="C142" s="77"/>
      <c r="D142" s="77"/>
    </row>
    <row r="143" spans="1:4" ht="13.5" customHeight="1" x14ac:dyDescent="0.2">
      <c r="A143" s="62"/>
      <c r="B143" s="67"/>
      <c r="C143" s="68"/>
      <c r="D143" s="68"/>
    </row>
    <row r="144" spans="1:4" ht="13.5" customHeight="1" x14ac:dyDescent="0.2">
      <c r="A144" s="62"/>
      <c r="B144" s="67"/>
      <c r="C144" s="68"/>
      <c r="D144" s="68"/>
    </row>
    <row r="145" spans="1:4" ht="13.5" customHeight="1" x14ac:dyDescent="0.2">
      <c r="A145" s="62"/>
      <c r="B145" s="67"/>
      <c r="C145" s="68"/>
      <c r="D145" s="68"/>
    </row>
    <row r="146" spans="1:4" ht="13.5" customHeight="1" x14ac:dyDescent="0.2">
      <c r="A146" s="62"/>
      <c r="B146" s="67"/>
      <c r="C146" s="68"/>
      <c r="D146" s="68"/>
    </row>
    <row r="147" spans="1:4" ht="13.5" customHeight="1" x14ac:dyDescent="0.2">
      <c r="A147" s="62"/>
      <c r="B147" s="67"/>
      <c r="C147" s="68"/>
      <c r="D147" s="68"/>
    </row>
    <row r="148" spans="1:4" ht="13.5" customHeight="1" x14ac:dyDescent="0.2">
      <c r="A148" s="62"/>
      <c r="B148" s="67"/>
      <c r="C148" s="68"/>
      <c r="D148" s="68"/>
    </row>
    <row r="149" spans="1:4" ht="13.5" customHeight="1" x14ac:dyDescent="0.2">
      <c r="A149" s="62"/>
      <c r="B149" s="67"/>
      <c r="C149" s="68"/>
      <c r="D149" s="68"/>
    </row>
    <row r="150" spans="1:4" ht="13.5" customHeight="1" x14ac:dyDescent="0.2">
      <c r="A150" s="62"/>
      <c r="B150" s="67"/>
      <c r="C150" s="68"/>
      <c r="D150" s="68"/>
    </row>
    <row r="151" spans="1:4" ht="13.5" customHeight="1" x14ac:dyDescent="0.2">
      <c r="A151" s="62"/>
      <c r="B151" s="67"/>
      <c r="C151" s="69"/>
      <c r="D151" s="69"/>
    </row>
    <row r="152" spans="1:4" ht="13.5" customHeight="1" x14ac:dyDescent="0.2">
      <c r="A152" s="62"/>
      <c r="B152" s="67"/>
      <c r="C152" s="69"/>
      <c r="D152" s="69"/>
    </row>
    <row r="153" spans="1:4" ht="13.5" customHeight="1" x14ac:dyDescent="0.2">
      <c r="A153" s="62"/>
      <c r="B153" s="67"/>
      <c r="C153" s="69"/>
      <c r="D153" s="69"/>
    </row>
    <row r="154" spans="1:4" ht="13.5" customHeight="1" x14ac:dyDescent="0.2">
      <c r="A154" s="62"/>
      <c r="B154" s="67"/>
      <c r="C154" s="68"/>
      <c r="D154" s="68"/>
    </row>
    <row r="155" spans="1:4" ht="13.5" customHeight="1" x14ac:dyDescent="0.2">
      <c r="A155" s="62"/>
      <c r="B155" s="67"/>
      <c r="C155" s="68"/>
      <c r="D155" s="68"/>
    </row>
    <row r="156" spans="1:4" s="78" customFormat="1" ht="13.5" customHeight="1" x14ac:dyDescent="0.2">
      <c r="A156" s="62"/>
      <c r="B156" s="67"/>
      <c r="C156" s="68"/>
      <c r="D156" s="68"/>
    </row>
    <row r="157" spans="1:4" ht="13.5" customHeight="1" x14ac:dyDescent="0.2">
      <c r="A157" s="62"/>
      <c r="B157" s="67"/>
      <c r="C157" s="68"/>
      <c r="D157" s="68"/>
    </row>
    <row r="158" spans="1:4" ht="13.5" customHeight="1" x14ac:dyDescent="0.2">
      <c r="A158" s="62"/>
      <c r="B158" s="67"/>
      <c r="C158" s="68"/>
      <c r="D158" s="68"/>
    </row>
    <row r="159" spans="1:4" ht="13.5" customHeight="1" x14ac:dyDescent="0.2">
      <c r="A159" s="62"/>
      <c r="B159" s="67"/>
      <c r="C159" s="69"/>
      <c r="D159" s="69"/>
    </row>
    <row r="160" spans="1:4" ht="13.5" customHeight="1" x14ac:dyDescent="0.2">
      <c r="A160" s="62"/>
      <c r="B160" s="67"/>
      <c r="C160" s="68"/>
      <c r="D160" s="68"/>
    </row>
    <row r="161" spans="1:4" ht="13.5" customHeight="1" x14ac:dyDescent="0.2">
      <c r="A161" s="62"/>
      <c r="B161" s="67"/>
      <c r="C161" s="69"/>
      <c r="D161" s="69"/>
    </row>
    <row r="162" spans="1:4" ht="13.5" customHeight="1" x14ac:dyDescent="0.2">
      <c r="A162" s="62"/>
      <c r="B162" s="67"/>
      <c r="C162" s="69"/>
      <c r="D162" s="69"/>
    </row>
    <row r="163" spans="1:4" ht="13.5" customHeight="1" x14ac:dyDescent="0.2">
      <c r="A163" s="62"/>
      <c r="B163" s="67"/>
      <c r="C163" s="68"/>
      <c r="D163" s="68"/>
    </row>
    <row r="164" spans="1:4" ht="13.5" customHeight="1" x14ac:dyDescent="0.2">
      <c r="A164" s="62"/>
      <c r="B164" s="67"/>
      <c r="C164" s="68"/>
      <c r="D164" s="68"/>
    </row>
    <row r="165" spans="1:4" ht="13.5" customHeight="1" x14ac:dyDescent="0.2">
      <c r="A165" s="62"/>
      <c r="B165" s="67"/>
      <c r="C165" s="68"/>
      <c r="D165" s="68"/>
    </row>
    <row r="166" spans="1:4" ht="13.5" customHeight="1" x14ac:dyDescent="0.2">
      <c r="A166" s="62"/>
      <c r="B166" s="67"/>
      <c r="C166" s="68"/>
      <c r="D166" s="68"/>
    </row>
    <row r="167" spans="1:4" ht="13.5" customHeight="1" x14ac:dyDescent="0.2">
      <c r="A167" s="62"/>
      <c r="B167" s="67"/>
      <c r="C167" s="69"/>
      <c r="D167" s="69"/>
    </row>
    <row r="168" spans="1:4" ht="13.5" customHeight="1" x14ac:dyDescent="0.2">
      <c r="A168" s="62"/>
      <c r="B168" s="67"/>
      <c r="C168" s="69"/>
      <c r="D168" s="69"/>
    </row>
    <row r="169" spans="1:4" ht="13.5" customHeight="1" x14ac:dyDescent="0.2">
      <c r="A169" s="62"/>
      <c r="B169" s="67"/>
      <c r="C169" s="69"/>
      <c r="D169" s="69"/>
    </row>
    <row r="170" spans="1:4" ht="13.5" customHeight="1" x14ac:dyDescent="0.2">
      <c r="A170" s="62"/>
      <c r="B170" s="67"/>
      <c r="C170" s="69"/>
      <c r="D170" s="69"/>
    </row>
    <row r="171" spans="1:4" ht="13.5" customHeight="1" x14ac:dyDescent="0.2">
      <c r="A171" s="62"/>
      <c r="B171" s="67"/>
      <c r="C171" s="69"/>
      <c r="D171" s="69"/>
    </row>
    <row r="172" spans="1:4" ht="13.5" customHeight="1" x14ac:dyDescent="0.2">
      <c r="A172" s="62"/>
      <c r="B172" s="67"/>
      <c r="C172" s="69"/>
      <c r="D172" s="69"/>
    </row>
    <row r="173" spans="1:4" ht="13.5" customHeight="1" x14ac:dyDescent="0.2">
      <c r="A173" s="62"/>
      <c r="B173" s="67"/>
      <c r="C173" s="69"/>
      <c r="D173" s="69"/>
    </row>
    <row r="174" spans="1:4" ht="13.5" customHeight="1" x14ac:dyDescent="0.2">
      <c r="A174" s="62"/>
      <c r="B174" s="79"/>
      <c r="C174" s="80"/>
      <c r="D174" s="80"/>
    </row>
    <row r="175" spans="1:4" ht="13.5" customHeight="1" x14ac:dyDescent="0.2">
      <c r="A175" s="62"/>
      <c r="B175" s="67"/>
      <c r="C175" s="68"/>
      <c r="D175" s="68"/>
    </row>
    <row r="176" spans="1:4" ht="13.5" customHeight="1" x14ac:dyDescent="0.2">
      <c r="A176" s="62"/>
      <c r="B176" s="67"/>
      <c r="C176" s="68"/>
      <c r="D176" s="68"/>
    </row>
    <row r="177" spans="1:4" ht="13.5" customHeight="1" x14ac:dyDescent="0.2">
      <c r="A177" s="62"/>
      <c r="B177" s="67"/>
      <c r="C177" s="69"/>
      <c r="D177" s="69"/>
    </row>
    <row r="178" spans="1:4" ht="13.5" customHeight="1" x14ac:dyDescent="0.2">
      <c r="A178" s="62"/>
      <c r="B178" s="67"/>
      <c r="C178" s="69"/>
      <c r="D178" s="69"/>
    </row>
    <row r="179" spans="1:4" ht="13.5" customHeight="1" x14ac:dyDescent="0.2">
      <c r="A179" s="62"/>
      <c r="B179" s="67"/>
      <c r="C179" s="69"/>
      <c r="D179" s="69"/>
    </row>
    <row r="180" spans="1:4" ht="13.5" customHeight="1" x14ac:dyDescent="0.2">
      <c r="A180" s="62"/>
      <c r="B180" s="67"/>
      <c r="C180" s="69"/>
      <c r="D180" s="69"/>
    </row>
    <row r="181" spans="1:4" ht="13.5" customHeight="1" x14ac:dyDescent="0.2">
      <c r="A181" s="62"/>
      <c r="B181" s="67"/>
      <c r="C181" s="68"/>
      <c r="D181" s="68"/>
    </row>
    <row r="182" spans="1:4" ht="13.5" customHeight="1" x14ac:dyDescent="0.2">
      <c r="B182" s="67"/>
      <c r="C182" s="69"/>
      <c r="D182" s="69"/>
    </row>
    <row r="183" spans="1:4" ht="13.5" customHeight="1" x14ac:dyDescent="0.2">
      <c r="B183" s="67"/>
      <c r="C183" s="68"/>
      <c r="D183" s="68"/>
    </row>
    <row r="184" spans="1:4" ht="13.5" customHeight="1" x14ac:dyDescent="0.2">
      <c r="B184" s="67"/>
      <c r="C184" s="68"/>
      <c r="D184" s="68"/>
    </row>
    <row r="185" spans="1:4" ht="13.5" customHeight="1" x14ac:dyDescent="0.2">
      <c r="B185" s="67"/>
      <c r="C185" s="69"/>
      <c r="D185" s="69"/>
    </row>
    <row r="186" spans="1:4" ht="13.5" customHeight="1" x14ac:dyDescent="0.2">
      <c r="B186" s="67"/>
      <c r="C186" s="69"/>
      <c r="D186" s="69"/>
    </row>
    <row r="187" spans="1:4" ht="13.5" customHeight="1" x14ac:dyDescent="0.2">
      <c r="B187" s="67"/>
      <c r="C187" s="69"/>
      <c r="D187" s="69"/>
    </row>
    <row r="188" spans="1:4" ht="13.5" customHeight="1" x14ac:dyDescent="0.2">
      <c r="B188" s="67"/>
      <c r="C188" s="69"/>
      <c r="D188" s="69"/>
    </row>
    <row r="189" spans="1:4" ht="13.5" customHeight="1" x14ac:dyDescent="0.2">
      <c r="B189" s="67"/>
      <c r="C189" s="68"/>
      <c r="D189" s="68"/>
    </row>
    <row r="190" spans="1:4" ht="13.5" customHeight="1" x14ac:dyDescent="0.2">
      <c r="B190" s="67"/>
      <c r="C190" s="69"/>
      <c r="D190" s="69"/>
    </row>
    <row r="191" spans="1:4" ht="13.5" customHeight="1" x14ac:dyDescent="0.2">
      <c r="B191" s="67"/>
      <c r="C191" s="68"/>
      <c r="D191" s="68"/>
    </row>
    <row r="192" spans="1:4" ht="13.5" customHeight="1" x14ac:dyDescent="0.2">
      <c r="B192" s="67"/>
      <c r="C192" s="69"/>
      <c r="D192" s="69"/>
    </row>
    <row r="193" spans="2:4" ht="13.5" customHeight="1" x14ac:dyDescent="0.2">
      <c r="B193" s="67"/>
      <c r="C193" s="68"/>
      <c r="D193" s="68"/>
    </row>
    <row r="194" spans="2:4" ht="13.5" customHeight="1" x14ac:dyDescent="0.2">
      <c r="B194" s="67"/>
      <c r="C194" s="69"/>
      <c r="D194" s="69"/>
    </row>
    <row r="195" spans="2:4" ht="13.5" customHeight="1" x14ac:dyDescent="0.2">
      <c r="B195" s="67"/>
      <c r="C195" s="69"/>
      <c r="D195" s="69"/>
    </row>
    <row r="196" spans="2:4" ht="13.5" customHeight="1" x14ac:dyDescent="0.2">
      <c r="B196" s="67"/>
      <c r="C196" s="69"/>
      <c r="D196" s="69"/>
    </row>
    <row r="197" spans="2:4" ht="13.5" customHeight="1" x14ac:dyDescent="0.2">
      <c r="B197" s="67"/>
      <c r="C197" s="69"/>
      <c r="D197" s="69"/>
    </row>
    <row r="198" spans="2:4" ht="13.5" customHeight="1" x14ac:dyDescent="0.2">
      <c r="B198" s="67"/>
      <c r="C198" s="69"/>
      <c r="D198" s="69"/>
    </row>
    <row r="199" spans="2:4" ht="13.5" customHeight="1" x14ac:dyDescent="0.2">
      <c r="B199" s="67"/>
      <c r="C199" s="69"/>
      <c r="D199" s="69"/>
    </row>
    <row r="200" spans="2:4" ht="13.5" customHeight="1" x14ac:dyDescent="0.2">
      <c r="B200" s="67"/>
      <c r="C200" s="68"/>
      <c r="D200" s="68"/>
    </row>
    <row r="210" spans="3:4" ht="13.5" customHeight="1" x14ac:dyDescent="0.2">
      <c r="C210" s="81"/>
      <c r="D210" s="81"/>
    </row>
    <row r="211" spans="3:4" ht="13.5" customHeight="1" x14ac:dyDescent="0.2">
      <c r="C211" s="81"/>
      <c r="D211" s="81"/>
    </row>
    <row r="212" spans="3:4" ht="13.5" customHeight="1" x14ac:dyDescent="0.2">
      <c r="C212" s="81"/>
      <c r="D212" s="81"/>
    </row>
    <row r="213" spans="3:4" ht="13.5" customHeight="1" x14ac:dyDescent="0.2">
      <c r="C213" s="81"/>
      <c r="D213" s="81"/>
    </row>
    <row r="214" spans="3:4" ht="13.5" customHeight="1" x14ac:dyDescent="0.2">
      <c r="C214" s="81"/>
      <c r="D214" s="81"/>
    </row>
    <row r="215" spans="3:4" ht="13.5" customHeight="1" x14ac:dyDescent="0.2">
      <c r="C215" s="81"/>
      <c r="D215" s="81"/>
    </row>
    <row r="216" spans="3:4" ht="13.5" customHeight="1" x14ac:dyDescent="0.2">
      <c r="C216" s="81"/>
      <c r="D216" s="81"/>
    </row>
    <row r="219" spans="3:4" ht="13.5" customHeight="1" x14ac:dyDescent="0.2">
      <c r="C219" s="81"/>
      <c r="D219" s="81"/>
    </row>
    <row r="220" spans="3:4" ht="13.5" customHeight="1" x14ac:dyDescent="0.2">
      <c r="C220" s="81"/>
      <c r="D220" s="81"/>
    </row>
    <row r="221" spans="3:4" ht="13.5" customHeight="1" x14ac:dyDescent="0.2">
      <c r="C221" s="81"/>
      <c r="D221" s="81"/>
    </row>
    <row r="222" spans="3:4" ht="13.5" customHeight="1" x14ac:dyDescent="0.2">
      <c r="C222" s="81"/>
      <c r="D222" s="81"/>
    </row>
    <row r="223" spans="3:4" ht="13.5" customHeight="1" x14ac:dyDescent="0.2">
      <c r="C223" s="81"/>
      <c r="D223" s="81"/>
    </row>
    <row r="224" spans="3:4" ht="13.5" customHeight="1" x14ac:dyDescent="0.2">
      <c r="C224" s="81"/>
      <c r="D224" s="81"/>
    </row>
    <row r="227" spans="1:6" ht="13.5" customHeight="1" x14ac:dyDescent="0.2">
      <c r="C227" s="81"/>
      <c r="D227" s="81"/>
    </row>
    <row r="229" spans="1:6" ht="13.5" customHeight="1" x14ac:dyDescent="0.2">
      <c r="C229" s="81"/>
      <c r="D229" s="81"/>
    </row>
    <row r="232" spans="1:6" ht="13.5" customHeight="1" x14ac:dyDescent="0.2">
      <c r="C232" s="81"/>
      <c r="D232" s="81"/>
    </row>
    <row r="233" spans="1:6" ht="13.5" customHeight="1" x14ac:dyDescent="0.2">
      <c r="C233" s="81"/>
      <c r="D233" s="81"/>
    </row>
    <row r="239" spans="1:6" s="75" customFormat="1" ht="13.5" customHeight="1" x14ac:dyDescent="0.2">
      <c r="A239" s="82"/>
      <c r="B239" s="2"/>
      <c r="C239" s="3"/>
      <c r="D239" s="3"/>
      <c r="E239" s="74"/>
      <c r="F239" s="74"/>
    </row>
    <row r="240" spans="1:6" ht="13.5" customHeight="1" x14ac:dyDescent="0.2">
      <c r="C240" s="81"/>
      <c r="D240" s="81"/>
    </row>
    <row r="241" spans="3:4" ht="13.5" customHeight="1" x14ac:dyDescent="0.2">
      <c r="C241" s="81"/>
      <c r="D241" s="81"/>
    </row>
    <row r="250" spans="3:4" ht="13.5" customHeight="1" x14ac:dyDescent="0.2">
      <c r="C250" s="81"/>
      <c r="D250" s="81"/>
    </row>
    <row r="258" spans="2:4" ht="13.5" customHeight="1" x14ac:dyDescent="0.2">
      <c r="B258" s="83"/>
      <c r="C258" s="84"/>
      <c r="D258" s="84"/>
    </row>
    <row r="262" spans="2:4" ht="13.5" customHeight="1" x14ac:dyDescent="0.2">
      <c r="C262" s="81"/>
      <c r="D262" s="81"/>
    </row>
    <row r="271" spans="2:4" ht="13.5" customHeight="1" x14ac:dyDescent="0.2">
      <c r="C271" s="81"/>
      <c r="D271" s="81"/>
    </row>
    <row r="272" spans="2:4" ht="13.5" customHeight="1" x14ac:dyDescent="0.2">
      <c r="C272" s="81"/>
      <c r="D272" s="81"/>
    </row>
    <row r="279" spans="3:4" ht="13.5" customHeight="1" x14ac:dyDescent="0.2">
      <c r="C279" s="81"/>
      <c r="D279" s="81"/>
    </row>
    <row r="280" spans="3:4" ht="13.5" customHeight="1" x14ac:dyDescent="0.2">
      <c r="C280" s="81"/>
      <c r="D280" s="81"/>
    </row>
    <row r="281" spans="3:4" ht="13.5" customHeight="1" x14ac:dyDescent="0.2">
      <c r="C281" s="81"/>
      <c r="D281" s="81"/>
    </row>
    <row r="282" spans="3:4" ht="13.5" customHeight="1" x14ac:dyDescent="0.2">
      <c r="C282" s="81"/>
      <c r="D282" s="81"/>
    </row>
    <row r="284" spans="3:4" ht="13.5" customHeight="1" x14ac:dyDescent="0.2">
      <c r="C284" s="81"/>
      <c r="D284" s="81"/>
    </row>
    <row r="286" spans="3:4" ht="13.5" customHeight="1" x14ac:dyDescent="0.2">
      <c r="C286" s="81"/>
      <c r="D286" s="81"/>
    </row>
    <row r="287" spans="3:4" ht="13.5" customHeight="1" x14ac:dyDescent="0.2">
      <c r="C287" s="81"/>
      <c r="D287" s="81"/>
    </row>
    <row r="290" spans="3:4" ht="13.5" customHeight="1" x14ac:dyDescent="0.2">
      <c r="C290" s="81"/>
      <c r="D290" s="81"/>
    </row>
    <row r="291" spans="3:4" ht="13.5" customHeight="1" x14ac:dyDescent="0.2">
      <c r="C291" s="81"/>
      <c r="D291" s="81"/>
    </row>
    <row r="292" spans="3:4" ht="13.5" customHeight="1" x14ac:dyDescent="0.2">
      <c r="C292" s="81"/>
      <c r="D292" s="81"/>
    </row>
    <row r="294" spans="3:4" ht="13.5" customHeight="1" x14ac:dyDescent="0.2">
      <c r="C294" s="81"/>
      <c r="D294" s="81"/>
    </row>
    <row r="295" spans="3:4" ht="13.5" customHeight="1" x14ac:dyDescent="0.2">
      <c r="C295" s="81"/>
      <c r="D295" s="81"/>
    </row>
    <row r="296" spans="3:4" ht="13.5" customHeight="1" x14ac:dyDescent="0.2">
      <c r="C296" s="81"/>
      <c r="D296" s="81"/>
    </row>
    <row r="297" spans="3:4" ht="13.5" customHeight="1" x14ac:dyDescent="0.2">
      <c r="C297" s="81"/>
      <c r="D297" s="81"/>
    </row>
    <row r="298" spans="3:4" ht="13.5" customHeight="1" x14ac:dyDescent="0.2">
      <c r="C298" s="81"/>
      <c r="D298" s="81"/>
    </row>
    <row r="300" spans="3:4" ht="13.5" customHeight="1" x14ac:dyDescent="0.2">
      <c r="C300" s="81"/>
      <c r="D300" s="81"/>
    </row>
    <row r="301" spans="3:4" ht="13.5" customHeight="1" x14ac:dyDescent="0.2">
      <c r="C301" s="81"/>
      <c r="D301" s="81"/>
    </row>
    <row r="302" spans="3:4" ht="13.5" customHeight="1" x14ac:dyDescent="0.2">
      <c r="C302" s="81"/>
      <c r="D302" s="81"/>
    </row>
    <row r="304" spans="3:4" ht="13.5" customHeight="1" x14ac:dyDescent="0.2">
      <c r="C304" s="81"/>
      <c r="D304" s="81"/>
    </row>
    <row r="305" spans="3:4" ht="13.5" customHeight="1" x14ac:dyDescent="0.2">
      <c r="C305" s="81"/>
      <c r="D305" s="81"/>
    </row>
    <row r="306" spans="3:4" ht="13.5" customHeight="1" x14ac:dyDescent="0.2">
      <c r="C306" s="81"/>
      <c r="D306" s="81"/>
    </row>
    <row r="322" spans="1:6" ht="13.5" customHeight="1" x14ac:dyDescent="0.2">
      <c r="C322" s="81"/>
      <c r="D322" s="81"/>
    </row>
    <row r="324" spans="1:6" ht="13.5" customHeight="1" x14ac:dyDescent="0.2">
      <c r="C324" s="81"/>
      <c r="D324" s="81"/>
    </row>
    <row r="325" spans="1:6" ht="13.5" customHeight="1" x14ac:dyDescent="0.2">
      <c r="C325" s="81"/>
      <c r="D325" s="81"/>
    </row>
    <row r="329" spans="1:6" ht="13.5" customHeight="1" x14ac:dyDescent="0.2">
      <c r="C329" s="81"/>
      <c r="D329" s="81"/>
    </row>
    <row r="331" spans="1:6" s="75" customFormat="1" ht="13.5" customHeight="1" x14ac:dyDescent="0.2">
      <c r="A331" s="82"/>
      <c r="B331" s="2"/>
      <c r="C331" s="81"/>
      <c r="D331" s="81"/>
      <c r="E331" s="74"/>
      <c r="F331" s="74"/>
    </row>
    <row r="333" spans="1:6" ht="13.5" customHeight="1" x14ac:dyDescent="0.2">
      <c r="C333" s="81"/>
      <c r="D333" s="81"/>
    </row>
    <row r="334" spans="1:6" ht="13.5" customHeight="1" x14ac:dyDescent="0.2">
      <c r="C334" s="81"/>
      <c r="D334" s="81"/>
    </row>
    <row r="335" spans="1:6" ht="13.5" customHeight="1" x14ac:dyDescent="0.2">
      <c r="C335" s="81"/>
      <c r="D335" s="81"/>
    </row>
    <row r="336" spans="1:6" ht="13.5" customHeight="1" x14ac:dyDescent="0.2">
      <c r="C336" s="81"/>
      <c r="D336" s="81"/>
    </row>
    <row r="337" spans="2:4" ht="13.5" customHeight="1" x14ac:dyDescent="0.2">
      <c r="C337" s="81"/>
      <c r="D337" s="81"/>
    </row>
    <row r="338" spans="2:4" ht="13.5" customHeight="1" x14ac:dyDescent="0.2">
      <c r="C338" s="81"/>
      <c r="D338" s="81"/>
    </row>
    <row r="339" spans="2:4" ht="13.5" customHeight="1" x14ac:dyDescent="0.2">
      <c r="C339" s="81"/>
      <c r="D339" s="81"/>
    </row>
    <row r="340" spans="2:4" ht="13.5" customHeight="1" x14ac:dyDescent="0.2">
      <c r="C340" s="81"/>
      <c r="D340" s="81"/>
    </row>
    <row r="343" spans="2:4" ht="13.5" customHeight="1" x14ac:dyDescent="0.2">
      <c r="C343" s="81"/>
      <c r="D343" s="81"/>
    </row>
    <row r="344" spans="2:4" ht="13.5" customHeight="1" x14ac:dyDescent="0.2">
      <c r="C344" s="81"/>
      <c r="D344" s="81"/>
    </row>
    <row r="346" spans="2:4" ht="13.5" customHeight="1" x14ac:dyDescent="0.2">
      <c r="C346" s="81"/>
      <c r="D346" s="81"/>
    </row>
    <row r="347" spans="2:4" ht="13.5" customHeight="1" x14ac:dyDescent="0.2">
      <c r="C347" s="81"/>
      <c r="D347" s="81"/>
    </row>
    <row r="350" spans="2:4" ht="13.5" customHeight="1" x14ac:dyDescent="0.2">
      <c r="B350" s="83"/>
      <c r="C350" s="84"/>
      <c r="D350" s="84"/>
    </row>
    <row r="353" spans="3:4" ht="13.5" customHeight="1" x14ac:dyDescent="0.2">
      <c r="C353" s="81"/>
      <c r="D353" s="81"/>
    </row>
    <row r="354" spans="3:4" ht="13.5" customHeight="1" x14ac:dyDescent="0.2">
      <c r="C354" s="81"/>
      <c r="D354" s="81"/>
    </row>
    <row r="355" spans="3:4" ht="13.5" customHeight="1" x14ac:dyDescent="0.2">
      <c r="C355" s="81"/>
      <c r="D355" s="81"/>
    </row>
    <row r="356" spans="3:4" ht="13.5" customHeight="1" x14ac:dyDescent="0.2">
      <c r="C356" s="81"/>
      <c r="D356" s="81"/>
    </row>
    <row r="357" spans="3:4" ht="13.5" customHeight="1" x14ac:dyDescent="0.2">
      <c r="C357" s="81"/>
      <c r="D357" s="81"/>
    </row>
    <row r="359" spans="3:4" ht="13.5" customHeight="1" x14ac:dyDescent="0.2">
      <c r="C359" s="81"/>
      <c r="D359" s="81"/>
    </row>
    <row r="360" spans="3:4" ht="13.5" customHeight="1" x14ac:dyDescent="0.2">
      <c r="C360" s="81"/>
      <c r="D360" s="81"/>
    </row>
    <row r="361" spans="3:4" ht="13.5" customHeight="1" x14ac:dyDescent="0.2">
      <c r="C361" s="81"/>
      <c r="D361" s="81"/>
    </row>
    <row r="363" spans="3:4" ht="13.5" customHeight="1" x14ac:dyDescent="0.2">
      <c r="C363" s="81"/>
      <c r="D363" s="81"/>
    </row>
    <row r="364" spans="3:4" ht="13.5" customHeight="1" x14ac:dyDescent="0.2">
      <c r="C364" s="81"/>
      <c r="D364" s="81"/>
    </row>
    <row r="365" spans="3:4" ht="13.5" customHeight="1" x14ac:dyDescent="0.2">
      <c r="C365" s="81"/>
      <c r="D365" s="81"/>
    </row>
    <row r="367" spans="3:4" ht="13.5" customHeight="1" x14ac:dyDescent="0.2">
      <c r="C367" s="81"/>
      <c r="D367" s="81"/>
    </row>
    <row r="368" spans="3:4" ht="13.5" customHeight="1" x14ac:dyDescent="0.2">
      <c r="C368" s="81"/>
      <c r="D368" s="81"/>
    </row>
    <row r="369" spans="3:4" ht="13.5" customHeight="1" x14ac:dyDescent="0.2">
      <c r="C369" s="81"/>
      <c r="D369" s="81"/>
    </row>
    <row r="372" spans="3:4" ht="13.5" customHeight="1" x14ac:dyDescent="0.2">
      <c r="C372" s="81"/>
      <c r="D372" s="81"/>
    </row>
    <row r="373" spans="3:4" ht="13.5" customHeight="1" x14ac:dyDescent="0.2">
      <c r="C373" s="81"/>
      <c r="D373" s="81"/>
    </row>
    <row r="374" spans="3:4" ht="13.5" customHeight="1" x14ac:dyDescent="0.2">
      <c r="C374" s="81"/>
      <c r="D374" s="81"/>
    </row>
    <row r="375" spans="3:4" ht="13.5" customHeight="1" x14ac:dyDescent="0.2">
      <c r="C375" s="81"/>
      <c r="D375" s="81"/>
    </row>
    <row r="376" spans="3:4" ht="13.5" customHeight="1" x14ac:dyDescent="0.2">
      <c r="C376" s="81"/>
      <c r="D376" s="81"/>
    </row>
    <row r="378" spans="3:4" ht="13.5" customHeight="1" x14ac:dyDescent="0.2">
      <c r="C378" s="81"/>
      <c r="D378" s="81"/>
    </row>
    <row r="379" spans="3:4" ht="13.5" customHeight="1" x14ac:dyDescent="0.2">
      <c r="C379" s="81"/>
      <c r="D379" s="81"/>
    </row>
    <row r="380" spans="3:4" ht="13.5" customHeight="1" x14ac:dyDescent="0.2">
      <c r="C380" s="81"/>
      <c r="D380" s="81"/>
    </row>
    <row r="382" spans="3:4" ht="13.5" customHeight="1" x14ac:dyDescent="0.2">
      <c r="C382" s="81"/>
      <c r="D382" s="81"/>
    </row>
    <row r="383" spans="3:4" ht="13.5" customHeight="1" x14ac:dyDescent="0.2">
      <c r="C383" s="81"/>
      <c r="D383" s="81"/>
    </row>
    <row r="384" spans="3:4" ht="13.5" customHeight="1" x14ac:dyDescent="0.2">
      <c r="C384" s="81"/>
      <c r="D384" s="81"/>
    </row>
    <row r="386" spans="3:4" ht="13.5" customHeight="1" x14ac:dyDescent="0.2">
      <c r="C386" s="81"/>
      <c r="D386" s="81"/>
    </row>
    <row r="387" spans="3:4" ht="13.5" customHeight="1" x14ac:dyDescent="0.2">
      <c r="C387" s="81"/>
      <c r="D387" s="81"/>
    </row>
    <row r="388" spans="3:4" ht="13.5" customHeight="1" x14ac:dyDescent="0.2">
      <c r="C388" s="81"/>
      <c r="D388" s="81"/>
    </row>
    <row r="391" spans="3:4" ht="13.5" customHeight="1" x14ac:dyDescent="0.2">
      <c r="C391" s="81"/>
      <c r="D391" s="81"/>
    </row>
    <row r="392" spans="3:4" ht="13.5" customHeight="1" x14ac:dyDescent="0.2">
      <c r="C392" s="81"/>
      <c r="D392" s="81"/>
    </row>
    <row r="393" spans="3:4" ht="13.5" customHeight="1" x14ac:dyDescent="0.2">
      <c r="C393" s="81"/>
      <c r="D393" s="81"/>
    </row>
    <row r="395" spans="3:4" ht="13.5" customHeight="1" x14ac:dyDescent="0.2">
      <c r="C395" s="81"/>
      <c r="D395" s="81"/>
    </row>
    <row r="396" spans="3:4" ht="13.5" customHeight="1" x14ac:dyDescent="0.2">
      <c r="C396" s="81"/>
      <c r="D396" s="81"/>
    </row>
    <row r="397" spans="3:4" ht="13.5" customHeight="1" x14ac:dyDescent="0.2">
      <c r="C397" s="81"/>
      <c r="D397" s="81"/>
    </row>
    <row r="399" spans="3:4" ht="13.5" customHeight="1" x14ac:dyDescent="0.2">
      <c r="C399" s="81"/>
      <c r="D399" s="81"/>
    </row>
    <row r="400" spans="3:4" ht="13.5" customHeight="1" x14ac:dyDescent="0.2">
      <c r="C400" s="81"/>
      <c r="D400" s="81"/>
    </row>
    <row r="401" spans="3:4" ht="13.5" customHeight="1" x14ac:dyDescent="0.2">
      <c r="C401" s="81"/>
      <c r="D401" s="81"/>
    </row>
    <row r="403" spans="3:4" ht="13.5" customHeight="1" x14ac:dyDescent="0.2">
      <c r="C403" s="81"/>
      <c r="D403" s="81"/>
    </row>
    <row r="404" spans="3:4" ht="13.5" customHeight="1" x14ac:dyDescent="0.2">
      <c r="C404" s="81"/>
      <c r="D404" s="81"/>
    </row>
    <row r="405" spans="3:4" ht="13.5" customHeight="1" x14ac:dyDescent="0.2">
      <c r="C405" s="81"/>
      <c r="D405" s="81"/>
    </row>
    <row r="408" spans="3:4" ht="13.5" customHeight="1" x14ac:dyDescent="0.2">
      <c r="C408" s="81"/>
      <c r="D408" s="81"/>
    </row>
    <row r="409" spans="3:4" ht="13.5" customHeight="1" x14ac:dyDescent="0.2">
      <c r="C409" s="81"/>
      <c r="D409" s="81"/>
    </row>
    <row r="410" spans="3:4" ht="13.5" customHeight="1" x14ac:dyDescent="0.2">
      <c r="C410" s="81"/>
      <c r="D410" s="81"/>
    </row>
    <row r="412" spans="3:4" ht="13.5" customHeight="1" x14ac:dyDescent="0.2">
      <c r="C412" s="81"/>
      <c r="D412" s="81"/>
    </row>
    <row r="413" spans="3:4" ht="13.5" customHeight="1" x14ac:dyDescent="0.2">
      <c r="C413" s="81"/>
      <c r="D413" s="81"/>
    </row>
    <row r="414" spans="3:4" ht="13.5" customHeight="1" x14ac:dyDescent="0.2">
      <c r="C414" s="81"/>
      <c r="D414" s="81"/>
    </row>
    <row r="416" spans="3:4" ht="13.5" customHeight="1" x14ac:dyDescent="0.2">
      <c r="C416" s="81"/>
      <c r="D416" s="81"/>
    </row>
    <row r="417" spans="1:6" ht="13.5" customHeight="1" x14ac:dyDescent="0.2">
      <c r="C417" s="81"/>
      <c r="D417" s="81"/>
    </row>
    <row r="418" spans="1:6" ht="13.5" customHeight="1" x14ac:dyDescent="0.2">
      <c r="C418" s="81"/>
      <c r="D418" s="81"/>
    </row>
    <row r="420" spans="1:6" ht="13.5" customHeight="1" x14ac:dyDescent="0.2">
      <c r="C420" s="81"/>
      <c r="D420" s="81"/>
    </row>
    <row r="421" spans="1:6" ht="13.5" customHeight="1" x14ac:dyDescent="0.2">
      <c r="C421" s="81"/>
      <c r="D421" s="81"/>
    </row>
    <row r="422" spans="1:6" s="87" customFormat="1" ht="13.5" customHeight="1" x14ac:dyDescent="0.25">
      <c r="A422" s="85"/>
      <c r="B422" s="2"/>
      <c r="C422" s="81"/>
      <c r="D422" s="81"/>
      <c r="E422" s="86"/>
      <c r="F422" s="86"/>
    </row>
    <row r="423" spans="1:6" s="75" customFormat="1" ht="13.5" customHeight="1" x14ac:dyDescent="0.2">
      <c r="A423" s="82"/>
      <c r="B423" s="2"/>
      <c r="C423" s="3"/>
      <c r="D423" s="3"/>
      <c r="E423" s="74"/>
      <c r="F423" s="74"/>
    </row>
    <row r="424" spans="1:6" ht="13.5" customHeight="1" x14ac:dyDescent="0.2">
      <c r="C424" s="81"/>
      <c r="D424" s="81"/>
    </row>
    <row r="425" spans="1:6" ht="13.5" customHeight="1" x14ac:dyDescent="0.2">
      <c r="C425" s="88"/>
      <c r="D425" s="88"/>
    </row>
    <row r="426" spans="1:6" ht="13.5" customHeight="1" x14ac:dyDescent="0.2">
      <c r="C426" s="89"/>
      <c r="D426" s="89"/>
    </row>
    <row r="427" spans="1:6" ht="13.5" customHeight="1" x14ac:dyDescent="0.2">
      <c r="C427" s="89"/>
      <c r="D427" s="89"/>
    </row>
    <row r="428" spans="1:6" ht="13.5" customHeight="1" x14ac:dyDescent="0.2">
      <c r="C428" s="89"/>
      <c r="D428" s="89"/>
    </row>
    <row r="429" spans="1:6" s="91" customFormat="1" ht="13.5" customHeight="1" x14ac:dyDescent="0.15">
      <c r="A429" s="1"/>
      <c r="B429" s="2"/>
      <c r="C429" s="89"/>
      <c r="D429" s="89"/>
      <c r="E429" s="90"/>
      <c r="F429" s="90"/>
    </row>
    <row r="430" spans="1:6" ht="13.5" customHeight="1" x14ac:dyDescent="0.2">
      <c r="C430" s="81"/>
      <c r="D430" s="81"/>
    </row>
    <row r="431" spans="1:6" s="75" customFormat="1" ht="13.5" customHeight="1" x14ac:dyDescent="0.2">
      <c r="A431" s="82"/>
      <c r="B431" s="2"/>
      <c r="C431" s="81"/>
      <c r="D431" s="81"/>
      <c r="E431" s="74"/>
      <c r="F431" s="74"/>
    </row>
    <row r="432" spans="1:6" ht="13.5" customHeight="1" x14ac:dyDescent="0.2">
      <c r="C432" s="81"/>
      <c r="D432" s="81"/>
    </row>
    <row r="433" spans="1:6" ht="13.5" customHeight="1" x14ac:dyDescent="0.2">
      <c r="C433" s="81"/>
      <c r="D433" s="81"/>
    </row>
    <row r="434" spans="1:6" ht="13.5" customHeight="1" x14ac:dyDescent="0.2">
      <c r="C434" s="81"/>
      <c r="D434" s="81"/>
    </row>
    <row r="436" spans="1:6" s="75" customFormat="1" ht="13.5" customHeight="1" x14ac:dyDescent="0.2">
      <c r="A436" s="82"/>
      <c r="B436" s="2"/>
      <c r="C436" s="3"/>
      <c r="D436" s="3"/>
      <c r="E436" s="74"/>
      <c r="F436" s="74"/>
    </row>
    <row r="437" spans="1:6" ht="13.5" customHeight="1" x14ac:dyDescent="0.2">
      <c r="C437" s="81"/>
      <c r="D437" s="81"/>
    </row>
    <row r="439" spans="1:6" ht="13.5" customHeight="1" x14ac:dyDescent="0.2">
      <c r="C439" s="91"/>
      <c r="D439" s="91"/>
    </row>
    <row r="440" spans="1:6" ht="13.5" customHeight="1" x14ac:dyDescent="0.2">
      <c r="C440" s="91"/>
      <c r="D440" s="91"/>
    </row>
    <row r="441" spans="1:6" ht="13.5" customHeight="1" x14ac:dyDescent="0.2">
      <c r="B441" s="92"/>
      <c r="C441" s="93"/>
      <c r="D441" s="93"/>
    </row>
    <row r="442" spans="1:6" ht="13.5" customHeight="1" x14ac:dyDescent="0.2">
      <c r="B442" s="83"/>
      <c r="C442" s="75"/>
      <c r="D442" s="75"/>
    </row>
    <row r="444" spans="1:6" ht="13.5" customHeight="1" x14ac:dyDescent="0.2">
      <c r="C444" s="81"/>
      <c r="D444" s="81"/>
    </row>
    <row r="445" spans="1:6" ht="13.5" customHeight="1" x14ac:dyDescent="0.2">
      <c r="C445" s="81"/>
      <c r="D445" s="81"/>
    </row>
    <row r="446" spans="1:6" ht="13.5" customHeight="1" x14ac:dyDescent="0.2">
      <c r="C446" s="81"/>
      <c r="D446" s="81"/>
    </row>
    <row r="447" spans="1:6" ht="13.5" customHeight="1" x14ac:dyDescent="0.2">
      <c r="C447" s="81"/>
      <c r="D447" s="81"/>
    </row>
    <row r="448" spans="1:6" ht="13.5" customHeight="1" x14ac:dyDescent="0.2">
      <c r="C448" s="81"/>
      <c r="D448" s="81"/>
    </row>
    <row r="449" spans="2:4" ht="13.5" customHeight="1" x14ac:dyDescent="0.2">
      <c r="C449" s="81"/>
      <c r="D449" s="81"/>
    </row>
    <row r="450" spans="2:4" ht="13.5" customHeight="1" x14ac:dyDescent="0.2">
      <c r="B450" s="83"/>
      <c r="C450" s="75"/>
      <c r="D450" s="75"/>
    </row>
    <row r="452" spans="2:4" ht="13.5" customHeight="1" x14ac:dyDescent="0.2">
      <c r="C452" s="81"/>
      <c r="D452" s="81"/>
    </row>
    <row r="453" spans="2:4" ht="13.5" customHeight="1" x14ac:dyDescent="0.2">
      <c r="C453" s="81"/>
      <c r="D453" s="81"/>
    </row>
    <row r="454" spans="2:4" ht="13.5" customHeight="1" x14ac:dyDescent="0.2">
      <c r="C454" s="81"/>
      <c r="D454" s="81"/>
    </row>
    <row r="455" spans="2:4" ht="13.5" customHeight="1" x14ac:dyDescent="0.2">
      <c r="B455" s="83"/>
      <c r="C455" s="75"/>
      <c r="D455" s="75"/>
    </row>
    <row r="457" spans="2:4" ht="13.5" customHeight="1" x14ac:dyDescent="0.2">
      <c r="C457" s="81"/>
      <c r="D457" s="81"/>
    </row>
    <row r="458" spans="2:4" ht="13.5" customHeight="1" x14ac:dyDescent="0.2">
      <c r="C458" s="81"/>
      <c r="D458" s="81"/>
    </row>
    <row r="459" spans="2:4" ht="13.5" customHeight="1" x14ac:dyDescent="0.2">
      <c r="C459" s="81"/>
      <c r="D459" s="81"/>
    </row>
    <row r="460" spans="2:4" ht="13.5" customHeight="1" x14ac:dyDescent="0.2">
      <c r="C460" s="81"/>
      <c r="D460" s="81"/>
    </row>
    <row r="462" spans="2:4" ht="13.5" customHeight="1" x14ac:dyDescent="0.2">
      <c r="C462" s="81"/>
      <c r="D462" s="81"/>
    </row>
    <row r="463" spans="2:4" ht="13.5" customHeight="1" x14ac:dyDescent="0.2">
      <c r="C463" s="81"/>
      <c r="D463" s="81"/>
    </row>
    <row r="464" spans="2:4" ht="13.5" customHeight="1" x14ac:dyDescent="0.2">
      <c r="C464" s="81"/>
      <c r="D464" s="81"/>
    </row>
    <row r="465" spans="3:4" ht="13.5" customHeight="1" x14ac:dyDescent="0.2">
      <c r="C465" s="81"/>
      <c r="D465" s="81"/>
    </row>
    <row r="466" spans="3:4" ht="13.5" customHeight="1" x14ac:dyDescent="0.2">
      <c r="C466" s="81"/>
      <c r="D466" s="81"/>
    </row>
    <row r="467" spans="3:4" ht="13.5" customHeight="1" x14ac:dyDescent="0.2">
      <c r="C467" s="81"/>
      <c r="D467" s="81"/>
    </row>
    <row r="469" spans="3:4" ht="13.5" customHeight="1" x14ac:dyDescent="0.2">
      <c r="C469" s="81"/>
      <c r="D469" s="81"/>
    </row>
    <row r="470" spans="3:4" ht="13.5" customHeight="1" x14ac:dyDescent="0.2">
      <c r="C470" s="81"/>
      <c r="D470" s="81"/>
    </row>
    <row r="471" spans="3:4" ht="13.5" customHeight="1" x14ac:dyDescent="0.2">
      <c r="C471" s="81"/>
      <c r="D471" s="81"/>
    </row>
    <row r="472" spans="3:4" ht="13.5" customHeight="1" x14ac:dyDescent="0.2">
      <c r="C472" s="81"/>
      <c r="D472" s="81"/>
    </row>
    <row r="473" spans="3:4" ht="13.5" customHeight="1" x14ac:dyDescent="0.2">
      <c r="C473" s="81"/>
      <c r="D473" s="81"/>
    </row>
    <row r="475" spans="3:4" ht="13.5" customHeight="1" x14ac:dyDescent="0.2">
      <c r="C475" s="81"/>
      <c r="D475" s="81"/>
    </row>
    <row r="476" spans="3:4" ht="13.5" customHeight="1" x14ac:dyDescent="0.2">
      <c r="C476" s="81"/>
      <c r="D476" s="81"/>
    </row>
    <row r="477" spans="3:4" ht="13.5" customHeight="1" x14ac:dyDescent="0.2">
      <c r="C477" s="81"/>
      <c r="D477" s="81"/>
    </row>
    <row r="479" spans="3:4" ht="13.5" customHeight="1" x14ac:dyDescent="0.2">
      <c r="C479" s="81"/>
      <c r="D479" s="81"/>
    </row>
    <row r="481" spans="1:6" ht="13.5" customHeight="1" x14ac:dyDescent="0.2">
      <c r="C481" s="81"/>
      <c r="D481" s="81"/>
    </row>
    <row r="483" spans="1:6" ht="13.5" customHeight="1" x14ac:dyDescent="0.2">
      <c r="C483" s="81"/>
      <c r="D483" s="81"/>
    </row>
    <row r="485" spans="1:6" ht="13.5" customHeight="1" x14ac:dyDescent="0.2">
      <c r="C485" s="81"/>
      <c r="D485" s="81"/>
    </row>
    <row r="486" spans="1:6" ht="13.5" customHeight="1" x14ac:dyDescent="0.2">
      <c r="C486" s="81"/>
      <c r="D486" s="81"/>
    </row>
    <row r="488" spans="1:6" s="75" customFormat="1" ht="13.5" customHeight="1" x14ac:dyDescent="0.2">
      <c r="A488" s="82"/>
      <c r="B488" s="2"/>
      <c r="C488" s="81"/>
      <c r="D488" s="81"/>
      <c r="E488" s="74"/>
      <c r="F488" s="74"/>
    </row>
    <row r="490" spans="1:6" ht="13.5" customHeight="1" x14ac:dyDescent="0.2">
      <c r="C490" s="81"/>
      <c r="D490" s="81"/>
    </row>
    <row r="492" spans="1:6" ht="13.5" customHeight="1" x14ac:dyDescent="0.2">
      <c r="C492" s="81"/>
      <c r="D492" s="81"/>
    </row>
    <row r="493" spans="1:6" ht="13.5" customHeight="1" x14ac:dyDescent="0.2">
      <c r="C493" s="81"/>
      <c r="D493" s="81"/>
    </row>
    <row r="495" spans="1:6" ht="13.5" customHeight="1" x14ac:dyDescent="0.2">
      <c r="C495" s="81"/>
      <c r="D495" s="81"/>
    </row>
    <row r="496" spans="1:6" s="75" customFormat="1" ht="13.5" customHeight="1" x14ac:dyDescent="0.2">
      <c r="A496" s="82"/>
      <c r="B496" s="2"/>
      <c r="C496" s="81"/>
      <c r="D496" s="81"/>
      <c r="E496" s="74"/>
      <c r="F496" s="74"/>
    </row>
    <row r="497" spans="1:6" ht="13.5" customHeight="1" x14ac:dyDescent="0.2">
      <c r="C497" s="81"/>
      <c r="D497" s="81"/>
    </row>
    <row r="498" spans="1:6" ht="13.5" customHeight="1" x14ac:dyDescent="0.2">
      <c r="C498" s="81"/>
      <c r="D498" s="81"/>
    </row>
    <row r="499" spans="1:6" ht="13.5" customHeight="1" x14ac:dyDescent="0.2">
      <c r="C499" s="81"/>
      <c r="D499" s="81"/>
    </row>
    <row r="500" spans="1:6" ht="13.5" customHeight="1" x14ac:dyDescent="0.2">
      <c r="C500" s="81"/>
      <c r="D500" s="81"/>
    </row>
    <row r="501" spans="1:6" ht="13.5" customHeight="1" x14ac:dyDescent="0.2">
      <c r="C501" s="81"/>
      <c r="D501" s="81"/>
    </row>
    <row r="502" spans="1:6" s="75" customFormat="1" ht="13.5" customHeight="1" x14ac:dyDescent="0.2">
      <c r="A502" s="82"/>
      <c r="B502" s="2"/>
      <c r="C502" s="81"/>
      <c r="D502" s="81"/>
      <c r="E502" s="74"/>
      <c r="F502" s="74"/>
    </row>
    <row r="503" spans="1:6" s="75" customFormat="1" ht="13.5" customHeight="1" x14ac:dyDescent="0.2">
      <c r="A503" s="82"/>
      <c r="B503" s="2"/>
      <c r="C503" s="3"/>
      <c r="D503" s="3"/>
      <c r="E503" s="74"/>
      <c r="F503" s="74"/>
    </row>
    <row r="504" spans="1:6" s="75" customFormat="1" ht="13.5" customHeight="1" x14ac:dyDescent="0.2">
      <c r="A504" s="82"/>
      <c r="B504" s="2"/>
      <c r="C504" s="81"/>
      <c r="D504" s="81"/>
      <c r="E504" s="74"/>
      <c r="F504" s="74"/>
    </row>
    <row r="505" spans="1:6" ht="13.5" customHeight="1" x14ac:dyDescent="0.2">
      <c r="C505" s="81"/>
      <c r="D505" s="81"/>
    </row>
    <row r="506" spans="1:6" ht="13.5" customHeight="1" x14ac:dyDescent="0.2">
      <c r="C506" s="81"/>
      <c r="D506" s="81"/>
    </row>
    <row r="507" spans="1:6" s="75" customFormat="1" ht="13.5" customHeight="1" x14ac:dyDescent="0.2">
      <c r="A507" s="82"/>
      <c r="B507" s="83"/>
      <c r="E507" s="74"/>
      <c r="F507" s="74"/>
    </row>
    <row r="508" spans="1:6" s="75" customFormat="1" ht="13.5" customHeight="1" x14ac:dyDescent="0.2">
      <c r="A508" s="82"/>
      <c r="B508" s="2"/>
      <c r="C508" s="3"/>
      <c r="D508" s="3"/>
      <c r="E508" s="74"/>
      <c r="F508" s="74"/>
    </row>
    <row r="509" spans="1:6" ht="13.5" customHeight="1" x14ac:dyDescent="0.2">
      <c r="C509" s="81"/>
      <c r="D509" s="81"/>
    </row>
    <row r="511" spans="1:6" ht="13.5" customHeight="1" x14ac:dyDescent="0.2">
      <c r="C511" s="81"/>
      <c r="D511" s="81"/>
    </row>
    <row r="514" spans="1:6" s="91" customFormat="1" ht="13.5" customHeight="1" x14ac:dyDescent="0.15">
      <c r="A514" s="1"/>
      <c r="B514" s="2"/>
      <c r="C514" s="81"/>
      <c r="D514" s="81"/>
      <c r="E514" s="90"/>
      <c r="F514" s="90"/>
    </row>
    <row r="515" spans="1:6" s="75" customFormat="1" ht="13.5" customHeight="1" x14ac:dyDescent="0.2">
      <c r="A515" s="82"/>
      <c r="B515" s="83"/>
      <c r="E515" s="74"/>
      <c r="F515" s="74"/>
    </row>
    <row r="516" spans="1:6" s="75" customFormat="1" ht="13.5" customHeight="1" x14ac:dyDescent="0.2">
      <c r="A516" s="82"/>
      <c r="B516" s="2"/>
      <c r="C516" s="3"/>
      <c r="D516" s="3"/>
      <c r="E516" s="74"/>
      <c r="F516" s="74"/>
    </row>
    <row r="517" spans="1:6" s="75" customFormat="1" ht="13.5" customHeight="1" x14ac:dyDescent="0.2">
      <c r="A517" s="82"/>
      <c r="B517" s="2"/>
      <c r="C517" s="81"/>
      <c r="D517" s="81"/>
      <c r="E517" s="74"/>
      <c r="F517" s="74"/>
    </row>
    <row r="518" spans="1:6" s="75" customFormat="1" ht="13.5" customHeight="1" x14ac:dyDescent="0.2">
      <c r="A518" s="82"/>
      <c r="B518" s="2"/>
      <c r="C518" s="3"/>
      <c r="D518" s="3"/>
      <c r="E518" s="74"/>
      <c r="F518" s="74"/>
    </row>
    <row r="519" spans="1:6" s="87" customFormat="1" ht="13.5" customHeight="1" x14ac:dyDescent="0.25">
      <c r="A519" s="85"/>
      <c r="B519" s="2"/>
      <c r="C519" s="81"/>
      <c r="D519" s="81"/>
      <c r="E519" s="86"/>
      <c r="F519" s="86"/>
    </row>
    <row r="520" spans="1:6" s="95" customFormat="1" ht="13.5" customHeight="1" x14ac:dyDescent="0.2">
      <c r="A520" s="94"/>
      <c r="B520" s="2"/>
      <c r="C520" s="81"/>
      <c r="D520" s="81"/>
    </row>
    <row r="521" spans="1:6" s="95" customFormat="1" ht="13.5" customHeight="1" x14ac:dyDescent="0.2">
      <c r="A521" s="94"/>
      <c r="B521" s="83"/>
      <c r="C521" s="75"/>
      <c r="D521" s="75"/>
    </row>
    <row r="522" spans="1:6" s="95" customFormat="1" ht="13.5" customHeight="1" x14ac:dyDescent="0.2">
      <c r="A522" s="96"/>
      <c r="B522" s="83"/>
      <c r="C522" s="75"/>
      <c r="D522" s="75"/>
    </row>
    <row r="523" spans="1:6" ht="13.5" customHeight="1" x14ac:dyDescent="0.2">
      <c r="A523" s="96"/>
      <c r="B523" s="83"/>
      <c r="C523" s="75"/>
      <c r="D523" s="75"/>
    </row>
    <row r="524" spans="1:6" ht="13.5" customHeight="1" x14ac:dyDescent="0.2">
      <c r="A524" s="96"/>
    </row>
    <row r="525" spans="1:6" ht="13.5" customHeight="1" x14ac:dyDescent="0.2">
      <c r="A525" s="96"/>
      <c r="C525" s="81"/>
      <c r="D525" s="81"/>
    </row>
    <row r="526" spans="1:6" ht="13.5" customHeight="1" x14ac:dyDescent="0.2">
      <c r="A526" s="96"/>
      <c r="B526" s="83"/>
      <c r="C526" s="75"/>
      <c r="D526" s="75"/>
    </row>
    <row r="527" spans="1:6" s="75" customFormat="1" ht="13.5" customHeight="1" x14ac:dyDescent="0.2">
      <c r="A527" s="82"/>
      <c r="B527" s="83"/>
      <c r="E527" s="74"/>
      <c r="F527" s="74"/>
    </row>
    <row r="529" spans="1:6" ht="13.5" customHeight="1" x14ac:dyDescent="0.2">
      <c r="C529" s="81"/>
      <c r="D529" s="81"/>
    </row>
    <row r="530" spans="1:6" ht="13.5" customHeight="1" x14ac:dyDescent="0.2">
      <c r="C530" s="81"/>
      <c r="D530" s="81"/>
    </row>
    <row r="531" spans="1:6" ht="13.5" customHeight="1" x14ac:dyDescent="0.2">
      <c r="C531" s="81"/>
      <c r="D531" s="81"/>
    </row>
    <row r="532" spans="1:6" ht="13.5" customHeight="1" x14ac:dyDescent="0.2">
      <c r="C532" s="81"/>
      <c r="D532" s="81"/>
    </row>
    <row r="533" spans="1:6" s="91" customFormat="1" ht="13.5" customHeight="1" x14ac:dyDescent="0.15">
      <c r="A533" s="1"/>
      <c r="B533" s="2"/>
      <c r="C533" s="81"/>
      <c r="D533" s="81"/>
      <c r="E533" s="90"/>
      <c r="F533" s="90"/>
    </row>
    <row r="534" spans="1:6" ht="13.5" customHeight="1" x14ac:dyDescent="0.2">
      <c r="B534" s="83"/>
      <c r="C534" s="75"/>
      <c r="D534" s="75"/>
    </row>
    <row r="535" spans="1:6" ht="13.5" customHeight="1" x14ac:dyDescent="0.2">
      <c r="B535" s="83"/>
      <c r="C535" s="75"/>
      <c r="D535" s="75"/>
    </row>
    <row r="536" spans="1:6" ht="13.5" customHeight="1" x14ac:dyDescent="0.2">
      <c r="B536" s="83"/>
      <c r="C536" s="75"/>
      <c r="D536" s="75"/>
    </row>
    <row r="537" spans="1:6" ht="13.5" customHeight="1" x14ac:dyDescent="0.2">
      <c r="B537" s="83"/>
      <c r="C537" s="75"/>
      <c r="D537" s="75"/>
    </row>
    <row r="538" spans="1:6" ht="13.5" customHeight="1" x14ac:dyDescent="0.2">
      <c r="B538" s="92"/>
      <c r="C538" s="93"/>
      <c r="D538" s="93"/>
    </row>
    <row r="539" spans="1:6" s="75" customFormat="1" ht="13.5" customHeight="1" x14ac:dyDescent="0.2">
      <c r="A539" s="82"/>
      <c r="B539" s="83"/>
      <c r="E539" s="74"/>
      <c r="F539" s="74"/>
    </row>
    <row r="540" spans="1:6" ht="13.5" customHeight="1" x14ac:dyDescent="0.2">
      <c r="B540" s="83"/>
      <c r="C540" s="75"/>
      <c r="D540" s="75"/>
    </row>
    <row r="541" spans="1:6" ht="13.5" customHeight="1" x14ac:dyDescent="0.2">
      <c r="C541" s="95"/>
      <c r="D541" s="95"/>
    </row>
    <row r="542" spans="1:6" ht="13.5" customHeight="1" x14ac:dyDescent="0.2">
      <c r="C542" s="95"/>
      <c r="D542" s="95"/>
    </row>
    <row r="543" spans="1:6" ht="13.5" customHeight="1" x14ac:dyDescent="0.2">
      <c r="C543" s="95"/>
      <c r="D543" s="95"/>
    </row>
    <row r="544" spans="1:6" ht="13.5" customHeight="1" x14ac:dyDescent="0.2">
      <c r="C544" s="95"/>
      <c r="D544" s="95"/>
    </row>
    <row r="545" spans="2:4" ht="13.5" customHeight="1" x14ac:dyDescent="0.2">
      <c r="C545" s="95"/>
      <c r="D545" s="95"/>
    </row>
    <row r="546" spans="2:4" ht="13.5" customHeight="1" x14ac:dyDescent="0.2">
      <c r="B546" s="83"/>
      <c r="C546" s="75"/>
      <c r="D546" s="75"/>
    </row>
    <row r="547" spans="2:4" ht="13.5" customHeight="1" x14ac:dyDescent="0.2">
      <c r="C547" s="81"/>
      <c r="D547" s="81"/>
    </row>
    <row r="548" spans="2:4" ht="13.5" customHeight="1" x14ac:dyDescent="0.2">
      <c r="C548" s="81"/>
      <c r="D548" s="81"/>
    </row>
    <row r="549" spans="2:4" ht="13.5" customHeight="1" x14ac:dyDescent="0.2">
      <c r="C549" s="81"/>
      <c r="D549" s="81"/>
    </row>
    <row r="550" spans="2:4" ht="13.5" customHeight="1" x14ac:dyDescent="0.2">
      <c r="C550" s="81"/>
      <c r="D550" s="81"/>
    </row>
    <row r="551" spans="2:4" ht="13.5" customHeight="1" x14ac:dyDescent="0.2">
      <c r="C551" s="81"/>
      <c r="D551" s="81"/>
    </row>
    <row r="552" spans="2:4" ht="13.5" customHeight="1" x14ac:dyDescent="0.2">
      <c r="C552" s="81"/>
      <c r="D552" s="81"/>
    </row>
    <row r="553" spans="2:4" ht="13.5" customHeight="1" x14ac:dyDescent="0.2">
      <c r="C553" s="81"/>
      <c r="D553" s="81"/>
    </row>
    <row r="554" spans="2:4" ht="13.5" customHeight="1" x14ac:dyDescent="0.2">
      <c r="C554" s="81"/>
      <c r="D554" s="81"/>
    </row>
    <row r="555" spans="2:4" ht="13.5" customHeight="1" x14ac:dyDescent="0.2">
      <c r="C555" s="81"/>
      <c r="D555" s="81"/>
    </row>
    <row r="556" spans="2:4" ht="13.5" customHeight="1" x14ac:dyDescent="0.2">
      <c r="C556" s="81"/>
      <c r="D556" s="81"/>
    </row>
    <row r="557" spans="2:4" ht="13.5" customHeight="1" x14ac:dyDescent="0.2">
      <c r="C557" s="81"/>
      <c r="D557" s="81"/>
    </row>
    <row r="558" spans="2:4" ht="13.5" customHeight="1" x14ac:dyDescent="0.2">
      <c r="B558" s="83"/>
      <c r="C558" s="75"/>
      <c r="D558" s="75"/>
    </row>
    <row r="563" spans="3:4" ht="13.5" customHeight="1" x14ac:dyDescent="0.2">
      <c r="C563" s="81"/>
      <c r="D563" s="81"/>
    </row>
    <row r="564" spans="3:4" ht="13.5" customHeight="1" x14ac:dyDescent="0.2">
      <c r="C564" s="81"/>
      <c r="D564" s="81"/>
    </row>
    <row r="565" spans="3:4" ht="13.5" customHeight="1" x14ac:dyDescent="0.2">
      <c r="C565" s="81"/>
      <c r="D565" s="81"/>
    </row>
    <row r="566" spans="3:4" ht="13.5" customHeight="1" x14ac:dyDescent="0.2">
      <c r="C566" s="81"/>
      <c r="D566" s="81"/>
    </row>
    <row r="567" spans="3:4" ht="13.5" customHeight="1" x14ac:dyDescent="0.2">
      <c r="C567" s="81"/>
      <c r="D567" s="81"/>
    </row>
    <row r="568" spans="3:4" ht="13.5" customHeight="1" x14ac:dyDescent="0.2">
      <c r="C568" s="81"/>
      <c r="D568" s="81"/>
    </row>
    <row r="569" spans="3:4" ht="13.5" customHeight="1" x14ac:dyDescent="0.2">
      <c r="C569" s="81"/>
      <c r="D569" s="81"/>
    </row>
    <row r="570" spans="3:4" ht="13.5" customHeight="1" x14ac:dyDescent="0.2">
      <c r="C570" s="81"/>
      <c r="D570" s="81"/>
    </row>
    <row r="572" spans="3:4" ht="13.5" customHeight="1" x14ac:dyDescent="0.2">
      <c r="C572" s="81"/>
      <c r="D572" s="81"/>
    </row>
    <row r="573" spans="3:4" ht="13.5" customHeight="1" x14ac:dyDescent="0.2">
      <c r="C573" s="81"/>
      <c r="D573" s="81"/>
    </row>
    <row r="574" spans="3:4" ht="13.5" customHeight="1" x14ac:dyDescent="0.2">
      <c r="C574" s="81"/>
      <c r="D574" s="81"/>
    </row>
    <row r="575" spans="3:4" ht="13.5" customHeight="1" x14ac:dyDescent="0.2">
      <c r="C575" s="81"/>
      <c r="D575" s="81"/>
    </row>
    <row r="576" spans="3:4" ht="13.5" customHeight="1" x14ac:dyDescent="0.2">
      <c r="C576" s="81"/>
      <c r="D576" s="81"/>
    </row>
    <row r="577" spans="3:4" ht="13.5" customHeight="1" x14ac:dyDescent="0.2">
      <c r="C577" s="81"/>
      <c r="D577" s="81"/>
    </row>
    <row r="578" spans="3:4" ht="13.5" customHeight="1" x14ac:dyDescent="0.2">
      <c r="C578" s="81"/>
      <c r="D578" s="81"/>
    </row>
    <row r="579" spans="3:4" ht="13.5" customHeight="1" x14ac:dyDescent="0.2">
      <c r="C579" s="81"/>
      <c r="D579" s="81"/>
    </row>
    <row r="580" spans="3:4" ht="13.5" customHeight="1" x14ac:dyDescent="0.2">
      <c r="C580" s="81"/>
      <c r="D580" s="81"/>
    </row>
    <row r="581" spans="3:4" ht="13.5" customHeight="1" x14ac:dyDescent="0.2">
      <c r="C581" s="81"/>
      <c r="D581" s="81"/>
    </row>
    <row r="582" spans="3:4" ht="13.5" customHeight="1" x14ac:dyDescent="0.2">
      <c r="C582" s="81"/>
      <c r="D582" s="81"/>
    </row>
    <row r="583" spans="3:4" ht="13.5" customHeight="1" x14ac:dyDescent="0.2">
      <c r="C583" s="81"/>
      <c r="D583" s="81"/>
    </row>
    <row r="584" spans="3:4" ht="13.5" customHeight="1" x14ac:dyDescent="0.2">
      <c r="C584" s="81"/>
      <c r="D584" s="81"/>
    </row>
    <row r="585" spans="3:4" ht="13.5" customHeight="1" x14ac:dyDescent="0.2">
      <c r="C585" s="81"/>
      <c r="D585" s="81"/>
    </row>
    <row r="586" spans="3:4" ht="13.5" customHeight="1" x14ac:dyDescent="0.2">
      <c r="C586" s="81"/>
      <c r="D586" s="81"/>
    </row>
    <row r="587" spans="3:4" ht="13.5" customHeight="1" x14ac:dyDescent="0.2">
      <c r="C587" s="81"/>
      <c r="D587" s="81"/>
    </row>
    <row r="588" spans="3:4" ht="13.5" customHeight="1" x14ac:dyDescent="0.2">
      <c r="C588" s="81"/>
      <c r="D588" s="81"/>
    </row>
    <row r="589" spans="3:4" ht="13.5" customHeight="1" x14ac:dyDescent="0.2">
      <c r="C589" s="81"/>
      <c r="D589" s="81"/>
    </row>
    <row r="590" spans="3:4" ht="13.5" customHeight="1" x14ac:dyDescent="0.2">
      <c r="C590" s="81"/>
      <c r="D590" s="81"/>
    </row>
    <row r="591" spans="3:4" ht="13.5" customHeight="1" x14ac:dyDescent="0.2">
      <c r="C591" s="81"/>
      <c r="D591" s="81"/>
    </row>
    <row r="592" spans="3:4" ht="13.5" customHeight="1" x14ac:dyDescent="0.2">
      <c r="C592" s="81"/>
      <c r="D592" s="81"/>
    </row>
    <row r="593" spans="3:4" ht="13.5" customHeight="1" x14ac:dyDescent="0.2">
      <c r="C593" s="81"/>
      <c r="D593" s="81"/>
    </row>
    <row r="594" spans="3:4" ht="13.5" customHeight="1" x14ac:dyDescent="0.2">
      <c r="C594" s="81"/>
      <c r="D594" s="81"/>
    </row>
    <row r="595" spans="3:4" ht="13.5" customHeight="1" x14ac:dyDescent="0.2">
      <c r="C595" s="81"/>
      <c r="D595" s="81"/>
    </row>
    <row r="596" spans="3:4" ht="13.5" customHeight="1" x14ac:dyDescent="0.2">
      <c r="C596" s="81"/>
      <c r="D596" s="81"/>
    </row>
    <row r="597" spans="3:4" ht="13.5" customHeight="1" x14ac:dyDescent="0.2">
      <c r="C597" s="81"/>
      <c r="D597" s="81"/>
    </row>
    <row r="598" spans="3:4" ht="13.5" customHeight="1" x14ac:dyDescent="0.2">
      <c r="C598" s="81"/>
      <c r="D598" s="81"/>
    </row>
    <row r="599" spans="3:4" ht="13.5" customHeight="1" x14ac:dyDescent="0.2">
      <c r="C599" s="81"/>
      <c r="D599" s="81"/>
    </row>
    <row r="600" spans="3:4" ht="13.5" customHeight="1" x14ac:dyDescent="0.2">
      <c r="C600" s="81"/>
      <c r="D600" s="81"/>
    </row>
    <row r="601" spans="3:4" ht="13.5" customHeight="1" x14ac:dyDescent="0.2">
      <c r="C601" s="81"/>
      <c r="D601" s="81"/>
    </row>
    <row r="602" spans="3:4" ht="13.5" customHeight="1" x14ac:dyDescent="0.2">
      <c r="C602" s="81"/>
      <c r="D602" s="81"/>
    </row>
    <row r="603" spans="3:4" ht="13.5" customHeight="1" x14ac:dyDescent="0.2">
      <c r="C603" s="81"/>
      <c r="D603" s="81"/>
    </row>
    <row r="604" spans="3:4" ht="13.5" customHeight="1" x14ac:dyDescent="0.2">
      <c r="C604" s="81"/>
      <c r="D604" s="81"/>
    </row>
    <row r="605" spans="3:4" ht="13.5" customHeight="1" x14ac:dyDescent="0.2">
      <c r="C605" s="81"/>
      <c r="D605" s="81"/>
    </row>
    <row r="606" spans="3:4" ht="13.5" customHeight="1" x14ac:dyDescent="0.2">
      <c r="C606" s="81"/>
      <c r="D606" s="81"/>
    </row>
    <row r="607" spans="3:4" ht="13.5" customHeight="1" x14ac:dyDescent="0.2">
      <c r="C607" s="81"/>
      <c r="D607" s="81"/>
    </row>
    <row r="608" spans="3:4" ht="13.5" customHeight="1" x14ac:dyDescent="0.2">
      <c r="C608" s="81"/>
      <c r="D608" s="81"/>
    </row>
    <row r="609" spans="3:4" ht="13.5" customHeight="1" x14ac:dyDescent="0.2">
      <c r="C609" s="81"/>
      <c r="D609" s="81"/>
    </row>
    <row r="610" spans="3:4" ht="13.5" customHeight="1" x14ac:dyDescent="0.2">
      <c r="C610" s="81"/>
      <c r="D610" s="81"/>
    </row>
    <row r="611" spans="3:4" ht="13.5" customHeight="1" x14ac:dyDescent="0.2">
      <c r="C611" s="81"/>
      <c r="D611" s="81"/>
    </row>
    <row r="612" spans="3:4" ht="13.5" customHeight="1" x14ac:dyDescent="0.2">
      <c r="C612" s="81"/>
      <c r="D612" s="81"/>
    </row>
    <row r="613" spans="3:4" ht="13.5" customHeight="1" x14ac:dyDescent="0.2">
      <c r="C613" s="81"/>
      <c r="D613" s="81"/>
    </row>
    <row r="614" spans="3:4" ht="13.5" customHeight="1" x14ac:dyDescent="0.2">
      <c r="C614" s="81"/>
      <c r="D614" s="81"/>
    </row>
    <row r="615" spans="3:4" ht="13.5" customHeight="1" x14ac:dyDescent="0.2">
      <c r="C615" s="81"/>
      <c r="D615" s="81"/>
    </row>
    <row r="616" spans="3:4" ht="13.5" customHeight="1" x14ac:dyDescent="0.2">
      <c r="C616" s="81"/>
      <c r="D616" s="81"/>
    </row>
    <row r="617" spans="3:4" ht="13.5" customHeight="1" x14ac:dyDescent="0.2">
      <c r="C617" s="81"/>
      <c r="D617" s="81"/>
    </row>
    <row r="618" spans="3:4" ht="13.5" customHeight="1" x14ac:dyDescent="0.2">
      <c r="C618" s="81"/>
      <c r="D618" s="81"/>
    </row>
    <row r="619" spans="3:4" ht="13.5" customHeight="1" x14ac:dyDescent="0.2">
      <c r="C619" s="81"/>
      <c r="D619" s="81"/>
    </row>
    <row r="620" spans="3:4" ht="13.5" customHeight="1" x14ac:dyDescent="0.2">
      <c r="C620" s="81"/>
      <c r="D620" s="81"/>
    </row>
    <row r="621" spans="3:4" ht="13.5" customHeight="1" x14ac:dyDescent="0.2">
      <c r="C621" s="81"/>
      <c r="D621" s="81"/>
    </row>
    <row r="622" spans="3:4" ht="13.5" customHeight="1" x14ac:dyDescent="0.2">
      <c r="C622" s="81"/>
      <c r="D622" s="81"/>
    </row>
    <row r="623" spans="3:4" ht="13.5" customHeight="1" x14ac:dyDescent="0.2">
      <c r="C623" s="81"/>
      <c r="D623" s="81"/>
    </row>
    <row r="624" spans="3:4" ht="13.5" customHeight="1" x14ac:dyDescent="0.2">
      <c r="C624" s="81"/>
      <c r="D624" s="81"/>
    </row>
    <row r="625" spans="3:4" ht="13.5" customHeight="1" x14ac:dyDescent="0.2">
      <c r="C625" s="81"/>
      <c r="D625" s="81"/>
    </row>
    <row r="626" spans="3:4" ht="13.5" customHeight="1" x14ac:dyDescent="0.2">
      <c r="C626" s="81"/>
      <c r="D626" s="81"/>
    </row>
    <row r="627" spans="3:4" ht="13.5" customHeight="1" x14ac:dyDescent="0.2">
      <c r="C627" s="81"/>
      <c r="D627" s="81"/>
    </row>
    <row r="628" spans="3:4" ht="13.5" customHeight="1" x14ac:dyDescent="0.2">
      <c r="C628" s="81"/>
      <c r="D628" s="81"/>
    </row>
    <row r="629" spans="3:4" ht="13.5" customHeight="1" x14ac:dyDescent="0.2">
      <c r="C629" s="81"/>
      <c r="D629" s="81"/>
    </row>
    <row r="630" spans="3:4" ht="13.5" customHeight="1" x14ac:dyDescent="0.2">
      <c r="C630" s="81"/>
      <c r="D630" s="81"/>
    </row>
    <row r="631" spans="3:4" ht="13.5" customHeight="1" x14ac:dyDescent="0.2">
      <c r="C631" s="81"/>
      <c r="D631" s="81"/>
    </row>
    <row r="632" spans="3:4" ht="13.5" customHeight="1" x14ac:dyDescent="0.2">
      <c r="C632" s="81"/>
      <c r="D632" s="81"/>
    </row>
    <row r="633" spans="3:4" ht="13.5" customHeight="1" x14ac:dyDescent="0.2">
      <c r="C633" s="81"/>
      <c r="D633" s="81"/>
    </row>
    <row r="634" spans="3:4" ht="13.5" customHeight="1" x14ac:dyDescent="0.2">
      <c r="C634" s="81"/>
      <c r="D634" s="81"/>
    </row>
    <row r="635" spans="3:4" ht="13.5" customHeight="1" x14ac:dyDescent="0.2">
      <c r="C635" s="81"/>
      <c r="D635" s="81"/>
    </row>
    <row r="636" spans="3:4" ht="13.5" customHeight="1" x14ac:dyDescent="0.2">
      <c r="C636" s="81"/>
      <c r="D636" s="81"/>
    </row>
    <row r="637" spans="3:4" ht="13.5" customHeight="1" x14ac:dyDescent="0.2">
      <c r="C637" s="81"/>
      <c r="D637" s="81"/>
    </row>
    <row r="638" spans="3:4" ht="13.5" customHeight="1" x14ac:dyDescent="0.2">
      <c r="C638" s="81"/>
      <c r="D638" s="81"/>
    </row>
    <row r="639" spans="3:4" ht="13.5" customHeight="1" x14ac:dyDescent="0.2">
      <c r="C639" s="81"/>
      <c r="D639" s="81"/>
    </row>
    <row r="640" spans="3:4" ht="13.5" customHeight="1" x14ac:dyDescent="0.2">
      <c r="C640" s="81"/>
      <c r="D640" s="81"/>
    </row>
    <row r="641" spans="3:4" ht="13.5" customHeight="1" x14ac:dyDescent="0.2">
      <c r="C641" s="81"/>
      <c r="D641" s="81"/>
    </row>
    <row r="642" spans="3:4" ht="13.5" customHeight="1" x14ac:dyDescent="0.2">
      <c r="C642" s="81"/>
      <c r="D642" s="81"/>
    </row>
    <row r="643" spans="3:4" ht="13.5" customHeight="1" x14ac:dyDescent="0.2">
      <c r="C643" s="81"/>
      <c r="D643" s="81"/>
    </row>
    <row r="644" spans="3:4" ht="13.5" customHeight="1" x14ac:dyDescent="0.2">
      <c r="C644" s="81"/>
      <c r="D644" s="81"/>
    </row>
    <row r="645" spans="3:4" ht="13.5" customHeight="1" x14ac:dyDescent="0.2">
      <c r="C645" s="81"/>
      <c r="D645" s="81"/>
    </row>
    <row r="646" spans="3:4" ht="13.5" customHeight="1" x14ac:dyDescent="0.2">
      <c r="C646" s="81"/>
      <c r="D646" s="81"/>
    </row>
    <row r="647" spans="3:4" ht="13.5" customHeight="1" x14ac:dyDescent="0.2">
      <c r="C647" s="81"/>
      <c r="D647" s="81"/>
    </row>
    <row r="648" spans="3:4" ht="13.5" customHeight="1" x14ac:dyDescent="0.2">
      <c r="C648" s="81"/>
      <c r="D648" s="81"/>
    </row>
    <row r="651" spans="3:4" ht="13.5" customHeight="1" x14ac:dyDescent="0.2">
      <c r="C651" s="81"/>
      <c r="D651" s="81"/>
    </row>
    <row r="653" spans="3:4" ht="13.5" customHeight="1" x14ac:dyDescent="0.2">
      <c r="C653" s="81"/>
      <c r="D653" s="81"/>
    </row>
    <row r="654" spans="3:4" ht="13.5" customHeight="1" x14ac:dyDescent="0.2">
      <c r="C654" s="81"/>
      <c r="D654" s="81"/>
    </row>
    <row r="655" spans="3:4" ht="13.5" customHeight="1" x14ac:dyDescent="0.2">
      <c r="C655" s="81"/>
      <c r="D655" s="81"/>
    </row>
    <row r="656" spans="3:4" ht="13.5" customHeight="1" x14ac:dyDescent="0.2">
      <c r="C656" s="81"/>
      <c r="D656" s="81"/>
    </row>
    <row r="657" spans="3:4" ht="13.5" customHeight="1" x14ac:dyDescent="0.2">
      <c r="C657" s="81"/>
      <c r="D657" s="81"/>
    </row>
    <row r="658" spans="3:4" ht="13.5" customHeight="1" x14ac:dyDescent="0.2">
      <c r="C658" s="81"/>
      <c r="D658" s="81"/>
    </row>
    <row r="659" spans="3:4" ht="13.5" customHeight="1" x14ac:dyDescent="0.2">
      <c r="C659" s="81"/>
      <c r="D659" s="81"/>
    </row>
    <row r="660" spans="3:4" ht="13.5" customHeight="1" x14ac:dyDescent="0.2">
      <c r="C660" s="81"/>
      <c r="D660" s="81"/>
    </row>
    <row r="661" spans="3:4" ht="13.5" customHeight="1" x14ac:dyDescent="0.2">
      <c r="C661" s="81"/>
      <c r="D661" s="81"/>
    </row>
    <row r="662" spans="3:4" ht="13.5" customHeight="1" x14ac:dyDescent="0.2">
      <c r="C662" s="81"/>
      <c r="D662" s="81"/>
    </row>
    <row r="663" spans="3:4" ht="13.5" customHeight="1" x14ac:dyDescent="0.2">
      <c r="C663" s="81"/>
      <c r="D663" s="81"/>
    </row>
    <row r="664" spans="3:4" ht="13.5" customHeight="1" x14ac:dyDescent="0.2">
      <c r="C664" s="81"/>
      <c r="D664" s="81"/>
    </row>
    <row r="665" spans="3:4" ht="13.5" customHeight="1" x14ac:dyDescent="0.2">
      <c r="C665" s="81"/>
      <c r="D665" s="81"/>
    </row>
    <row r="666" spans="3:4" ht="13.5" customHeight="1" x14ac:dyDescent="0.2">
      <c r="C666" s="81"/>
      <c r="D666" s="81"/>
    </row>
    <row r="667" spans="3:4" ht="13.5" customHeight="1" x14ac:dyDescent="0.2">
      <c r="C667" s="81"/>
      <c r="D667" s="81"/>
    </row>
    <row r="668" spans="3:4" ht="13.5" customHeight="1" x14ac:dyDescent="0.2">
      <c r="C668" s="81"/>
      <c r="D668" s="81"/>
    </row>
    <row r="671" spans="3:4" ht="13.5" customHeight="1" x14ac:dyDescent="0.2">
      <c r="C671" s="81"/>
      <c r="D671" s="81"/>
    </row>
    <row r="673" spans="3:4" ht="13.5" customHeight="1" x14ac:dyDescent="0.2">
      <c r="C673" s="81"/>
      <c r="D673" s="81"/>
    </row>
    <row r="674" spans="3:4" ht="13.5" customHeight="1" x14ac:dyDescent="0.2">
      <c r="C674" s="81"/>
      <c r="D674" s="81"/>
    </row>
    <row r="675" spans="3:4" ht="13.5" customHeight="1" x14ac:dyDescent="0.2">
      <c r="C675" s="81"/>
      <c r="D675" s="81"/>
    </row>
    <row r="676" spans="3:4" ht="13.5" customHeight="1" x14ac:dyDescent="0.2">
      <c r="C676" s="81"/>
      <c r="D676" s="81"/>
    </row>
    <row r="677" spans="3:4" ht="13.5" customHeight="1" x14ac:dyDescent="0.2">
      <c r="C677" s="81"/>
      <c r="D677" s="81"/>
    </row>
    <row r="678" spans="3:4" ht="13.5" customHeight="1" x14ac:dyDescent="0.2">
      <c r="C678" s="81"/>
      <c r="D678" s="81"/>
    </row>
    <row r="679" spans="3:4" ht="13.5" customHeight="1" x14ac:dyDescent="0.2">
      <c r="C679" s="81"/>
      <c r="D679" s="81"/>
    </row>
    <row r="680" spans="3:4" ht="13.5" customHeight="1" x14ac:dyDescent="0.2">
      <c r="C680" s="81"/>
      <c r="D680" s="81"/>
    </row>
    <row r="681" spans="3:4" ht="13.5" customHeight="1" x14ac:dyDescent="0.2">
      <c r="C681" s="81"/>
      <c r="D681" s="81"/>
    </row>
    <row r="682" spans="3:4" ht="13.5" customHeight="1" x14ac:dyDescent="0.2">
      <c r="C682" s="81"/>
      <c r="D682" s="81"/>
    </row>
    <row r="683" spans="3:4" ht="13.5" customHeight="1" x14ac:dyDescent="0.2">
      <c r="C683" s="81"/>
      <c r="D683" s="81"/>
    </row>
    <row r="684" spans="3:4" ht="13.5" customHeight="1" x14ac:dyDescent="0.2">
      <c r="C684" s="81"/>
      <c r="D684" s="81"/>
    </row>
    <row r="685" spans="3:4" ht="13.5" customHeight="1" x14ac:dyDescent="0.2">
      <c r="C685" s="81"/>
      <c r="D685" s="81"/>
    </row>
    <row r="686" spans="3:4" ht="13.5" customHeight="1" x14ac:dyDescent="0.2">
      <c r="C686" s="81"/>
      <c r="D686" s="81"/>
    </row>
    <row r="687" spans="3:4" ht="13.5" customHeight="1" x14ac:dyDescent="0.2">
      <c r="C687" s="81"/>
      <c r="D687" s="81"/>
    </row>
    <row r="688" spans="3:4" ht="13.5" customHeight="1" x14ac:dyDescent="0.2">
      <c r="C688" s="81"/>
      <c r="D688" s="81"/>
    </row>
    <row r="689" spans="3:4" ht="13.5" customHeight="1" x14ac:dyDescent="0.2">
      <c r="C689" s="81"/>
      <c r="D689" s="81"/>
    </row>
    <row r="690" spans="3:4" ht="13.5" customHeight="1" x14ac:dyDescent="0.2">
      <c r="C690" s="81"/>
      <c r="D690" s="81"/>
    </row>
    <row r="691" spans="3:4" ht="13.5" customHeight="1" x14ac:dyDescent="0.2">
      <c r="C691" s="81"/>
      <c r="D691" s="81"/>
    </row>
    <row r="692" spans="3:4" ht="13.5" customHeight="1" x14ac:dyDescent="0.2">
      <c r="C692" s="81"/>
      <c r="D692" s="81"/>
    </row>
    <row r="693" spans="3:4" ht="13.5" customHeight="1" x14ac:dyDescent="0.2">
      <c r="C693" s="81"/>
      <c r="D693" s="81"/>
    </row>
    <row r="694" spans="3:4" ht="13.5" customHeight="1" x14ac:dyDescent="0.2">
      <c r="C694" s="81"/>
      <c r="D694" s="81"/>
    </row>
    <row r="697" spans="3:4" ht="13.5" customHeight="1" x14ac:dyDescent="0.2">
      <c r="C697" s="81"/>
      <c r="D697" s="81"/>
    </row>
    <row r="699" spans="3:4" ht="13.5" customHeight="1" x14ac:dyDescent="0.2">
      <c r="C699" s="81"/>
      <c r="D699" s="81"/>
    </row>
    <row r="700" spans="3:4" ht="13.5" customHeight="1" x14ac:dyDescent="0.2">
      <c r="C700" s="81"/>
      <c r="D700" s="81"/>
    </row>
    <row r="701" spans="3:4" ht="13.5" customHeight="1" x14ac:dyDescent="0.2">
      <c r="C701" s="81"/>
      <c r="D701" s="81"/>
    </row>
    <row r="702" spans="3:4" ht="13.5" customHeight="1" x14ac:dyDescent="0.2">
      <c r="C702" s="81"/>
      <c r="D702" s="81"/>
    </row>
    <row r="703" spans="3:4" ht="13.5" customHeight="1" x14ac:dyDescent="0.2">
      <c r="C703" s="81"/>
      <c r="D703" s="81"/>
    </row>
    <row r="704" spans="3:4" ht="13.5" customHeight="1" x14ac:dyDescent="0.2">
      <c r="C704" s="81"/>
      <c r="D704" s="81"/>
    </row>
    <row r="705" spans="3:4" ht="13.5" customHeight="1" x14ac:dyDescent="0.2">
      <c r="C705" s="81"/>
      <c r="D705" s="81"/>
    </row>
    <row r="706" spans="3:4" ht="13.5" customHeight="1" x14ac:dyDescent="0.2">
      <c r="C706" s="81"/>
      <c r="D706" s="81"/>
    </row>
    <row r="707" spans="3:4" ht="13.5" customHeight="1" x14ac:dyDescent="0.2">
      <c r="C707" s="81"/>
      <c r="D707" s="81"/>
    </row>
    <row r="708" spans="3:4" ht="13.5" customHeight="1" x14ac:dyDescent="0.2">
      <c r="C708" s="81"/>
      <c r="D708" s="81"/>
    </row>
    <row r="709" spans="3:4" ht="13.5" customHeight="1" x14ac:dyDescent="0.2">
      <c r="C709" s="81"/>
      <c r="D709" s="81"/>
    </row>
    <row r="710" spans="3:4" ht="13.5" customHeight="1" x14ac:dyDescent="0.2">
      <c r="C710" s="81"/>
      <c r="D710" s="81"/>
    </row>
    <row r="711" spans="3:4" ht="13.5" customHeight="1" x14ac:dyDescent="0.2">
      <c r="C711" s="81"/>
      <c r="D711" s="81"/>
    </row>
    <row r="712" spans="3:4" ht="13.5" customHeight="1" x14ac:dyDescent="0.2">
      <c r="C712" s="81"/>
      <c r="D712" s="81"/>
    </row>
    <row r="713" spans="3:4" ht="13.5" customHeight="1" x14ac:dyDescent="0.2">
      <c r="C713" s="81"/>
      <c r="D713" s="81"/>
    </row>
    <row r="714" spans="3:4" ht="13.5" customHeight="1" x14ac:dyDescent="0.2">
      <c r="C714" s="81"/>
      <c r="D714" s="81"/>
    </row>
    <row r="715" spans="3:4" ht="13.5" customHeight="1" x14ac:dyDescent="0.2">
      <c r="C715" s="81"/>
      <c r="D715" s="81"/>
    </row>
    <row r="716" spans="3:4" ht="13.5" customHeight="1" x14ac:dyDescent="0.2">
      <c r="C716" s="81"/>
      <c r="D716" s="81"/>
    </row>
    <row r="717" spans="3:4" ht="13.5" customHeight="1" x14ac:dyDescent="0.2">
      <c r="C717" s="81"/>
      <c r="D717" s="81"/>
    </row>
    <row r="718" spans="3:4" ht="13.5" customHeight="1" x14ac:dyDescent="0.2">
      <c r="C718" s="81"/>
      <c r="D718" s="81"/>
    </row>
    <row r="719" spans="3:4" ht="13.5" customHeight="1" x14ac:dyDescent="0.2">
      <c r="C719" s="81"/>
      <c r="D719" s="81"/>
    </row>
    <row r="720" spans="3:4" ht="13.5" customHeight="1" x14ac:dyDescent="0.2">
      <c r="C720" s="81"/>
      <c r="D720" s="81"/>
    </row>
    <row r="724" spans="3:4" ht="13.5" customHeight="1" x14ac:dyDescent="0.2">
      <c r="C724" s="81"/>
      <c r="D724" s="81"/>
    </row>
    <row r="725" spans="3:4" ht="13.5" customHeight="1" x14ac:dyDescent="0.2">
      <c r="C725" s="81"/>
      <c r="D725" s="81"/>
    </row>
    <row r="726" spans="3:4" ht="13.5" customHeight="1" x14ac:dyDescent="0.2">
      <c r="C726" s="81"/>
      <c r="D726" s="81"/>
    </row>
    <row r="727" spans="3:4" ht="13.5" customHeight="1" x14ac:dyDescent="0.2">
      <c r="C727" s="81"/>
      <c r="D727" s="81"/>
    </row>
    <row r="728" spans="3:4" ht="13.5" customHeight="1" x14ac:dyDescent="0.2">
      <c r="C728" s="81"/>
      <c r="D728" s="81"/>
    </row>
    <row r="729" spans="3:4" ht="13.5" customHeight="1" x14ac:dyDescent="0.2">
      <c r="C729" s="81"/>
      <c r="D729" s="81"/>
    </row>
    <row r="733" spans="3:4" ht="13.5" customHeight="1" x14ac:dyDescent="0.2">
      <c r="C733" s="81"/>
      <c r="D733" s="81"/>
    </row>
    <row r="734" spans="3:4" ht="13.5" customHeight="1" x14ac:dyDescent="0.2">
      <c r="C734" s="81"/>
      <c r="D734" s="81"/>
    </row>
    <row r="735" spans="3:4" ht="13.5" customHeight="1" x14ac:dyDescent="0.2">
      <c r="C735" s="81"/>
      <c r="D735" s="81"/>
    </row>
    <row r="736" spans="3:4" ht="13.5" customHeight="1" x14ac:dyDescent="0.2">
      <c r="C736" s="81"/>
      <c r="D736" s="81"/>
    </row>
    <row r="737" spans="3:4" ht="13.5" customHeight="1" x14ac:dyDescent="0.2">
      <c r="C737" s="81"/>
      <c r="D737" s="81"/>
    </row>
    <row r="738" spans="3:4" ht="13.5" customHeight="1" x14ac:dyDescent="0.2">
      <c r="C738" s="81"/>
      <c r="D738" s="81"/>
    </row>
    <row r="739" spans="3:4" ht="13.5" customHeight="1" x14ac:dyDescent="0.2">
      <c r="C739" s="81"/>
      <c r="D739" s="81"/>
    </row>
    <row r="740" spans="3:4" ht="13.5" customHeight="1" x14ac:dyDescent="0.2">
      <c r="C740" s="81"/>
      <c r="D740" s="81"/>
    </row>
    <row r="741" spans="3:4" ht="13.5" customHeight="1" x14ac:dyDescent="0.2">
      <c r="C741" s="81"/>
      <c r="D741" s="81"/>
    </row>
    <row r="742" spans="3:4" ht="13.5" customHeight="1" x14ac:dyDescent="0.2">
      <c r="C742" s="81"/>
      <c r="D742" s="81"/>
    </row>
    <row r="743" spans="3:4" ht="13.5" customHeight="1" x14ac:dyDescent="0.2">
      <c r="C743" s="81"/>
      <c r="D743" s="81"/>
    </row>
    <row r="744" spans="3:4" ht="13.5" customHeight="1" x14ac:dyDescent="0.2">
      <c r="C744" s="81"/>
      <c r="D744" s="81"/>
    </row>
    <row r="745" spans="3:4" ht="13.5" customHeight="1" x14ac:dyDescent="0.2">
      <c r="C745" s="81"/>
      <c r="D745" s="81"/>
    </row>
    <row r="746" spans="3:4" ht="13.5" customHeight="1" x14ac:dyDescent="0.2">
      <c r="C746" s="81"/>
      <c r="D746" s="81"/>
    </row>
    <row r="747" spans="3:4" ht="13.5" customHeight="1" x14ac:dyDescent="0.2">
      <c r="C747" s="81"/>
      <c r="D747" s="81"/>
    </row>
    <row r="748" spans="3:4" ht="13.5" customHeight="1" x14ac:dyDescent="0.2">
      <c r="C748" s="81"/>
      <c r="D748" s="81"/>
    </row>
    <row r="749" spans="3:4" ht="13.5" customHeight="1" x14ac:dyDescent="0.2">
      <c r="C749" s="81"/>
      <c r="D749" s="81"/>
    </row>
    <row r="750" spans="3:4" ht="13.5" customHeight="1" x14ac:dyDescent="0.2">
      <c r="C750" s="81"/>
      <c r="D750" s="81"/>
    </row>
    <row r="751" spans="3:4" ht="13.5" customHeight="1" x14ac:dyDescent="0.2">
      <c r="C751" s="81"/>
      <c r="D751" s="81"/>
    </row>
    <row r="752" spans="3:4" ht="13.5" customHeight="1" x14ac:dyDescent="0.2">
      <c r="C752" s="81"/>
      <c r="D752" s="81"/>
    </row>
    <row r="753" spans="3:4" ht="13.5" customHeight="1" x14ac:dyDescent="0.2">
      <c r="C753" s="81"/>
      <c r="D753" s="81"/>
    </row>
    <row r="754" spans="3:4" ht="13.5" customHeight="1" x14ac:dyDescent="0.2">
      <c r="C754" s="81"/>
      <c r="D754" s="81"/>
    </row>
    <row r="755" spans="3:4" ht="13.5" customHeight="1" x14ac:dyDescent="0.2">
      <c r="C755" s="81"/>
      <c r="D755" s="81"/>
    </row>
    <row r="756" spans="3:4" ht="13.5" customHeight="1" x14ac:dyDescent="0.2">
      <c r="C756" s="81"/>
      <c r="D756" s="81"/>
    </row>
    <row r="757" spans="3:4" ht="13.5" customHeight="1" x14ac:dyDescent="0.2">
      <c r="C757" s="81"/>
      <c r="D757" s="81"/>
    </row>
    <row r="758" spans="3:4" ht="13.5" customHeight="1" x14ac:dyDescent="0.2">
      <c r="C758" s="81"/>
      <c r="D758" s="81"/>
    </row>
    <row r="759" spans="3:4" ht="13.5" customHeight="1" x14ac:dyDescent="0.2">
      <c r="C759" s="81"/>
      <c r="D759" s="81"/>
    </row>
    <row r="760" spans="3:4" ht="13.5" customHeight="1" x14ac:dyDescent="0.2">
      <c r="C760" s="81"/>
      <c r="D760" s="81"/>
    </row>
    <row r="761" spans="3:4" ht="13.5" customHeight="1" x14ac:dyDescent="0.2">
      <c r="C761" s="81"/>
      <c r="D761" s="81"/>
    </row>
    <row r="762" spans="3:4" ht="13.5" customHeight="1" x14ac:dyDescent="0.2">
      <c r="C762" s="81"/>
      <c r="D762" s="81"/>
    </row>
    <row r="763" spans="3:4" ht="13.5" customHeight="1" x14ac:dyDescent="0.2">
      <c r="C763" s="81"/>
      <c r="D763" s="81"/>
    </row>
    <row r="764" spans="3:4" ht="13.5" customHeight="1" x14ac:dyDescent="0.2">
      <c r="C764" s="81"/>
      <c r="D764" s="81"/>
    </row>
    <row r="765" spans="3:4" ht="13.5" customHeight="1" x14ac:dyDescent="0.2">
      <c r="C765" s="81"/>
      <c r="D765" s="81"/>
    </row>
    <row r="766" spans="3:4" ht="13.5" customHeight="1" x14ac:dyDescent="0.2">
      <c r="C766" s="81"/>
      <c r="D766" s="81"/>
    </row>
    <row r="768" spans="3:4" ht="13.5" customHeight="1" x14ac:dyDescent="0.2">
      <c r="C768" s="81"/>
      <c r="D768" s="81"/>
    </row>
    <row r="769" spans="3:4" ht="13.5" customHeight="1" x14ac:dyDescent="0.2">
      <c r="C769" s="81"/>
      <c r="D769" s="81"/>
    </row>
    <row r="770" spans="3:4" ht="13.5" customHeight="1" x14ac:dyDescent="0.2">
      <c r="C770" s="81"/>
      <c r="D770" s="81"/>
    </row>
    <row r="772" spans="3:4" ht="13.5" customHeight="1" x14ac:dyDescent="0.2">
      <c r="C772" s="81"/>
      <c r="D772" s="81"/>
    </row>
    <row r="773" spans="3:4" ht="13.5" customHeight="1" x14ac:dyDescent="0.2">
      <c r="C773" s="81"/>
      <c r="D773" s="81"/>
    </row>
    <row r="774" spans="3:4" ht="13.5" customHeight="1" x14ac:dyDescent="0.2">
      <c r="C774" s="81"/>
      <c r="D774" s="81"/>
    </row>
    <row r="775" spans="3:4" ht="13.5" customHeight="1" x14ac:dyDescent="0.2">
      <c r="C775" s="81"/>
      <c r="D775" s="81"/>
    </row>
    <row r="776" spans="3:4" ht="13.5" customHeight="1" x14ac:dyDescent="0.2">
      <c r="C776" s="81"/>
      <c r="D776" s="81"/>
    </row>
    <row r="777" spans="3:4" ht="13.5" customHeight="1" x14ac:dyDescent="0.2">
      <c r="C777" s="81"/>
      <c r="D777" s="81"/>
    </row>
    <row r="778" spans="3:4" ht="13.5" customHeight="1" x14ac:dyDescent="0.2">
      <c r="C778" s="81"/>
      <c r="D778" s="81"/>
    </row>
    <row r="779" spans="3:4" ht="13.5" customHeight="1" x14ac:dyDescent="0.2">
      <c r="C779" s="81"/>
      <c r="D779" s="81"/>
    </row>
    <row r="780" spans="3:4" ht="13.5" customHeight="1" x14ac:dyDescent="0.2">
      <c r="C780" s="81"/>
      <c r="D780" s="81"/>
    </row>
    <row r="781" spans="3:4" ht="13.5" customHeight="1" x14ac:dyDescent="0.2">
      <c r="C781" s="81"/>
      <c r="D781" s="81"/>
    </row>
    <row r="783" spans="3:4" ht="13.5" customHeight="1" x14ac:dyDescent="0.2">
      <c r="C783" s="81"/>
      <c r="D783" s="81"/>
    </row>
    <row r="785" spans="1:6" s="75" customFormat="1" ht="13.5" customHeight="1" x14ac:dyDescent="0.2">
      <c r="A785" s="82"/>
      <c r="B785" s="2"/>
      <c r="C785" s="3"/>
      <c r="D785" s="3"/>
      <c r="E785" s="74"/>
      <c r="F785" s="74"/>
    </row>
    <row r="786" spans="1:6" ht="13.5" customHeight="1" x14ac:dyDescent="0.2">
      <c r="C786" s="81"/>
      <c r="D786" s="81"/>
    </row>
    <row r="787" spans="1:6" ht="13.5" customHeight="1" x14ac:dyDescent="0.2">
      <c r="C787" s="81"/>
      <c r="D787" s="81"/>
    </row>
    <row r="788" spans="1:6" ht="13.5" customHeight="1" x14ac:dyDescent="0.2">
      <c r="C788" s="81"/>
      <c r="D788" s="81"/>
    </row>
    <row r="789" spans="1:6" ht="13.5" customHeight="1" x14ac:dyDescent="0.2">
      <c r="C789" s="81"/>
      <c r="D789" s="81"/>
    </row>
    <row r="790" spans="1:6" ht="13.5" customHeight="1" x14ac:dyDescent="0.2">
      <c r="C790" s="81"/>
      <c r="D790" s="81"/>
    </row>
    <row r="791" spans="1:6" ht="13.5" customHeight="1" x14ac:dyDescent="0.2">
      <c r="C791" s="81"/>
      <c r="D791" s="81"/>
    </row>
    <row r="792" spans="1:6" ht="13.5" customHeight="1" x14ac:dyDescent="0.2">
      <c r="C792" s="81"/>
      <c r="D792" s="81"/>
    </row>
    <row r="793" spans="1:6" ht="13.5" customHeight="1" x14ac:dyDescent="0.2">
      <c r="C793" s="81"/>
      <c r="D793" s="81"/>
    </row>
    <row r="794" spans="1:6" ht="13.5" customHeight="1" x14ac:dyDescent="0.2">
      <c r="C794" s="81"/>
      <c r="D794" s="81"/>
    </row>
    <row r="795" spans="1:6" ht="13.5" customHeight="1" x14ac:dyDescent="0.2">
      <c r="C795" s="81"/>
      <c r="D795" s="81"/>
    </row>
    <row r="796" spans="1:6" ht="13.5" customHeight="1" x14ac:dyDescent="0.2">
      <c r="C796" s="81"/>
      <c r="D796" s="81"/>
    </row>
    <row r="797" spans="1:6" ht="13.5" customHeight="1" x14ac:dyDescent="0.2">
      <c r="C797" s="81"/>
      <c r="D797" s="81"/>
    </row>
    <row r="798" spans="1:6" ht="13.5" customHeight="1" x14ac:dyDescent="0.2">
      <c r="C798" s="81"/>
      <c r="D798" s="81"/>
    </row>
    <row r="799" spans="1:6" ht="13.5" customHeight="1" x14ac:dyDescent="0.2">
      <c r="C799" s="81"/>
      <c r="D799" s="81"/>
    </row>
    <row r="800" spans="1:6" ht="13.5" customHeight="1" x14ac:dyDescent="0.2">
      <c r="C800" s="81"/>
      <c r="D800" s="81"/>
    </row>
    <row r="801" spans="2:4" ht="13.5" customHeight="1" x14ac:dyDescent="0.2">
      <c r="C801" s="81"/>
      <c r="D801" s="81"/>
    </row>
    <row r="802" spans="2:4" ht="13.5" customHeight="1" x14ac:dyDescent="0.2">
      <c r="C802" s="81"/>
      <c r="D802" s="81"/>
    </row>
    <row r="803" spans="2:4" ht="13.5" customHeight="1" x14ac:dyDescent="0.2">
      <c r="C803" s="81"/>
      <c r="D803" s="81"/>
    </row>
    <row r="804" spans="2:4" ht="13.5" customHeight="1" x14ac:dyDescent="0.2">
      <c r="B804" s="83"/>
      <c r="C804" s="75"/>
      <c r="D804" s="75"/>
    </row>
    <row r="806" spans="2:4" ht="13.5" customHeight="1" x14ac:dyDescent="0.2">
      <c r="C806" s="81"/>
      <c r="D806" s="81"/>
    </row>
    <row r="807" spans="2:4" ht="13.5" customHeight="1" x14ac:dyDescent="0.2">
      <c r="C807" s="81"/>
      <c r="D807" s="81"/>
    </row>
    <row r="810" spans="2:4" ht="13.5" customHeight="1" x14ac:dyDescent="0.2">
      <c r="C810" s="81"/>
      <c r="D810" s="81"/>
    </row>
    <row r="811" spans="2:4" ht="13.5" customHeight="1" x14ac:dyDescent="0.2">
      <c r="C811" s="81"/>
      <c r="D811" s="81"/>
    </row>
    <row r="812" spans="2:4" ht="13.5" customHeight="1" x14ac:dyDescent="0.2">
      <c r="C812" s="81"/>
      <c r="D812" s="81"/>
    </row>
    <row r="813" spans="2:4" ht="13.5" customHeight="1" x14ac:dyDescent="0.2">
      <c r="C813" s="81"/>
      <c r="D813" s="81"/>
    </row>
    <row r="815" spans="2:4" ht="13.5" customHeight="1" x14ac:dyDescent="0.2">
      <c r="C815" s="81"/>
      <c r="D815" s="81"/>
    </row>
    <row r="816" spans="2:4" ht="13.5" customHeight="1" x14ac:dyDescent="0.2">
      <c r="C816" s="81"/>
      <c r="D816" s="81"/>
    </row>
    <row r="817" spans="1:6" ht="13.5" customHeight="1" x14ac:dyDescent="0.2">
      <c r="C817" s="81"/>
      <c r="D817" s="81"/>
    </row>
    <row r="818" spans="1:6" ht="13.5" customHeight="1" x14ac:dyDescent="0.2">
      <c r="C818" s="81"/>
      <c r="D818" s="81"/>
    </row>
    <row r="820" spans="1:6" ht="13.5" customHeight="1" x14ac:dyDescent="0.2">
      <c r="C820" s="81"/>
      <c r="D820" s="81"/>
    </row>
    <row r="821" spans="1:6" ht="13.5" customHeight="1" x14ac:dyDescent="0.2">
      <c r="C821" s="81"/>
      <c r="D821" s="81"/>
    </row>
    <row r="823" spans="1:6" s="87" customFormat="1" ht="13.5" customHeight="1" x14ac:dyDescent="0.25">
      <c r="A823" s="85"/>
      <c r="B823" s="2"/>
      <c r="C823" s="81"/>
      <c r="D823" s="81"/>
      <c r="E823" s="86"/>
      <c r="F823" s="86"/>
    </row>
    <row r="824" spans="1:6" s="75" customFormat="1" ht="13.5" customHeight="1" x14ac:dyDescent="0.2">
      <c r="A824" s="82"/>
      <c r="B824" s="2"/>
      <c r="C824" s="81"/>
      <c r="D824" s="81"/>
      <c r="E824" s="74"/>
      <c r="F824" s="74"/>
    </row>
    <row r="825" spans="1:6" s="75" customFormat="1" ht="13.5" customHeight="1" x14ac:dyDescent="0.2">
      <c r="A825" s="82"/>
      <c r="B825" s="2"/>
      <c r="C825" s="81"/>
      <c r="D825" s="81"/>
      <c r="E825" s="74"/>
      <c r="F825" s="74"/>
    </row>
    <row r="826" spans="1:6" s="75" customFormat="1" ht="13.5" customHeight="1" x14ac:dyDescent="0.2">
      <c r="A826" s="82"/>
      <c r="B826" s="2"/>
      <c r="C826" s="81"/>
      <c r="D826" s="81"/>
      <c r="E826" s="74"/>
      <c r="F826" s="74"/>
    </row>
    <row r="828" spans="1:6" ht="13.5" customHeight="1" x14ac:dyDescent="0.2">
      <c r="C828" s="81"/>
      <c r="D828" s="81"/>
    </row>
    <row r="829" spans="1:6" ht="13.5" customHeight="1" x14ac:dyDescent="0.2">
      <c r="C829" s="81"/>
      <c r="D829" s="81"/>
    </row>
    <row r="831" spans="1:6" ht="13.5" customHeight="1" x14ac:dyDescent="0.2">
      <c r="C831" s="81"/>
      <c r="D831" s="81"/>
    </row>
    <row r="832" spans="1:6" ht="13.5" customHeight="1" x14ac:dyDescent="0.2">
      <c r="C832" s="81"/>
      <c r="D832" s="81"/>
    </row>
    <row r="834" spans="2:4" ht="13.5" customHeight="1" x14ac:dyDescent="0.2">
      <c r="C834" s="81"/>
      <c r="D834" s="81"/>
    </row>
    <row r="835" spans="2:4" ht="13.5" customHeight="1" x14ac:dyDescent="0.2">
      <c r="C835" s="81"/>
      <c r="D835" s="81"/>
    </row>
    <row r="837" spans="2:4" ht="13.5" customHeight="1" x14ac:dyDescent="0.2">
      <c r="C837" s="81"/>
      <c r="D837" s="81"/>
    </row>
    <row r="838" spans="2:4" ht="13.5" customHeight="1" x14ac:dyDescent="0.2">
      <c r="C838" s="81"/>
      <c r="D838" s="81"/>
    </row>
    <row r="842" spans="2:4" ht="13.5" customHeight="1" x14ac:dyDescent="0.2">
      <c r="B842" s="92"/>
      <c r="C842" s="93"/>
      <c r="D842" s="93"/>
    </row>
    <row r="843" spans="2:4" ht="13.5" customHeight="1" x14ac:dyDescent="0.2">
      <c r="B843" s="83"/>
      <c r="C843" s="75"/>
      <c r="D843" s="75"/>
    </row>
    <row r="844" spans="2:4" ht="13.5" customHeight="1" x14ac:dyDescent="0.2">
      <c r="B844" s="83"/>
      <c r="C844" s="75"/>
      <c r="D844" s="75"/>
    </row>
    <row r="845" spans="2:4" ht="13.5" customHeight="1" x14ac:dyDescent="0.2">
      <c r="B845" s="83"/>
      <c r="C845" s="75"/>
      <c r="D845" s="75"/>
    </row>
    <row r="848" spans="2:4" ht="13.5" customHeight="1" x14ac:dyDescent="0.2">
      <c r="C848" s="81"/>
      <c r="D848" s="81"/>
    </row>
    <row r="850" spans="3:4" ht="13.5" customHeight="1" x14ac:dyDescent="0.2">
      <c r="C850" s="81"/>
      <c r="D850" s="81"/>
    </row>
    <row r="851" spans="3:4" ht="13.5" customHeight="1" x14ac:dyDescent="0.2">
      <c r="C851" s="81"/>
      <c r="D851" s="81"/>
    </row>
    <row r="858" spans="3:4" ht="13.5" customHeight="1" x14ac:dyDescent="0.2">
      <c r="C858" s="81"/>
      <c r="D858" s="81"/>
    </row>
    <row r="861" spans="3:4" ht="13.5" customHeight="1" x14ac:dyDescent="0.2">
      <c r="C861" s="81"/>
      <c r="D861" s="81"/>
    </row>
    <row r="862" spans="3:4" ht="13.5" customHeight="1" x14ac:dyDescent="0.2">
      <c r="C862" s="81"/>
      <c r="D862" s="81"/>
    </row>
    <row r="864" spans="3:4" ht="13.5" customHeight="1" x14ac:dyDescent="0.2">
      <c r="C864" s="81"/>
      <c r="D864" s="81"/>
    </row>
    <row r="865" spans="3:4" ht="13.5" customHeight="1" x14ac:dyDescent="0.2">
      <c r="C865" s="81"/>
      <c r="D865" s="81"/>
    </row>
    <row r="867" spans="3:4" ht="13.5" customHeight="1" x14ac:dyDescent="0.2">
      <c r="C867" s="81"/>
      <c r="D867" s="81"/>
    </row>
    <row r="869" spans="3:4" ht="13.5" customHeight="1" x14ac:dyDescent="0.2">
      <c r="C869" s="81"/>
      <c r="D869" s="81"/>
    </row>
    <row r="874" spans="3:4" ht="13.5" customHeight="1" x14ac:dyDescent="0.2">
      <c r="C874" s="81"/>
      <c r="D874" s="81"/>
    </row>
    <row r="875" spans="3:4" ht="13.5" customHeight="1" x14ac:dyDescent="0.2">
      <c r="C875" s="81"/>
      <c r="D875" s="81"/>
    </row>
    <row r="876" spans="3:4" ht="13.5" customHeight="1" x14ac:dyDescent="0.2">
      <c r="C876" s="81"/>
      <c r="D876" s="81"/>
    </row>
    <row r="877" spans="3:4" ht="13.5" customHeight="1" x14ac:dyDescent="0.2">
      <c r="C877" s="81"/>
      <c r="D877" s="81"/>
    </row>
    <row r="878" spans="3:4" ht="13.5" customHeight="1" x14ac:dyDescent="0.2">
      <c r="C878" s="81"/>
      <c r="D878" s="81"/>
    </row>
    <row r="879" spans="3:4" ht="13.5" customHeight="1" x14ac:dyDescent="0.2">
      <c r="C879" s="81"/>
      <c r="D879" s="81"/>
    </row>
    <row r="880" spans="3:4" ht="13.5" customHeight="1" x14ac:dyDescent="0.2">
      <c r="C880" s="81"/>
      <c r="D880" s="81"/>
    </row>
    <row r="881" spans="1:6" s="75" customFormat="1" ht="13.5" customHeight="1" x14ac:dyDescent="0.2">
      <c r="A881" s="82"/>
      <c r="B881" s="2"/>
      <c r="C881" s="81"/>
      <c r="D881" s="81"/>
      <c r="E881" s="74"/>
      <c r="F881" s="74"/>
    </row>
    <row r="882" spans="1:6" ht="13.5" customHeight="1" x14ac:dyDescent="0.2">
      <c r="C882" s="81"/>
      <c r="D882" s="81"/>
    </row>
    <row r="883" spans="1:6" ht="13.5" customHeight="1" x14ac:dyDescent="0.2">
      <c r="C883" s="81"/>
      <c r="D883" s="81"/>
    </row>
    <row r="884" spans="1:6" ht="13.5" customHeight="1" x14ac:dyDescent="0.2">
      <c r="C884" s="81"/>
      <c r="D884" s="81"/>
    </row>
    <row r="885" spans="1:6" ht="13.5" customHeight="1" x14ac:dyDescent="0.2">
      <c r="C885" s="81"/>
      <c r="D885" s="81"/>
    </row>
    <row r="886" spans="1:6" ht="13.5" customHeight="1" x14ac:dyDescent="0.2">
      <c r="C886" s="81"/>
      <c r="D886" s="81"/>
    </row>
    <row r="889" spans="1:6" ht="13.5" customHeight="1" x14ac:dyDescent="0.2">
      <c r="C889" s="81"/>
      <c r="D889" s="81"/>
    </row>
    <row r="890" spans="1:6" ht="13.5" customHeight="1" x14ac:dyDescent="0.2">
      <c r="C890" s="81"/>
      <c r="D890" s="81"/>
    </row>
    <row r="892" spans="1:6" s="91" customFormat="1" ht="13.5" customHeight="1" x14ac:dyDescent="0.15">
      <c r="A892" s="1"/>
      <c r="B892" s="2"/>
      <c r="C892" s="3"/>
      <c r="D892" s="3"/>
      <c r="E892" s="90"/>
      <c r="F892" s="90"/>
    </row>
    <row r="896" spans="1:6" s="75" customFormat="1" ht="13.5" customHeight="1" x14ac:dyDescent="0.2">
      <c r="A896" s="82"/>
      <c r="B896" s="2"/>
      <c r="C896" s="3"/>
      <c r="D896" s="3"/>
      <c r="E896" s="74"/>
      <c r="F896" s="74"/>
    </row>
    <row r="897" spans="1:4" s="95" customFormat="1" ht="13.5" customHeight="1" x14ac:dyDescent="0.2">
      <c r="A897" s="1"/>
      <c r="B897" s="2"/>
      <c r="C897" s="81"/>
      <c r="D897" s="81"/>
    </row>
    <row r="898" spans="1:4" s="97" customFormat="1" ht="13.5" customHeight="1" x14ac:dyDescent="0.2">
      <c r="A898" s="82"/>
      <c r="B898" s="2"/>
      <c r="C898" s="3"/>
      <c r="D898" s="3"/>
    </row>
    <row r="899" spans="1:4" s="95" customFormat="1" ht="13.5" customHeight="1" x14ac:dyDescent="0.2">
      <c r="A899" s="1"/>
      <c r="B899" s="2"/>
      <c r="C899" s="3"/>
      <c r="D899" s="3"/>
    </row>
    <row r="900" spans="1:4" s="95" customFormat="1" ht="13.5" customHeight="1" x14ac:dyDescent="0.2">
      <c r="A900" s="1"/>
      <c r="B900" s="83"/>
      <c r="C900" s="75"/>
      <c r="D900" s="75"/>
    </row>
    <row r="903" spans="1:4" ht="13.5" customHeight="1" x14ac:dyDescent="0.2">
      <c r="B903" s="98"/>
      <c r="C903" s="88"/>
      <c r="D903" s="88"/>
    </row>
    <row r="905" spans="1:4" ht="13.5" customHeight="1" x14ac:dyDescent="0.2">
      <c r="C905" s="81"/>
      <c r="D905" s="81"/>
    </row>
    <row r="906" spans="1:4" ht="13.5" customHeight="1" x14ac:dyDescent="0.2">
      <c r="C906" s="81"/>
      <c r="D906" s="81"/>
    </row>
    <row r="907" spans="1:4" ht="13.5" customHeight="1" x14ac:dyDescent="0.2">
      <c r="C907" s="81"/>
      <c r="D907" s="81"/>
    </row>
    <row r="909" spans="1:4" ht="13.5" customHeight="1" x14ac:dyDescent="0.2">
      <c r="C909" s="81"/>
      <c r="D909" s="81"/>
    </row>
    <row r="910" spans="1:4" ht="13.5" customHeight="1" x14ac:dyDescent="0.2">
      <c r="B910" s="98"/>
      <c r="C910" s="88"/>
      <c r="D910" s="88"/>
    </row>
    <row r="911" spans="1:4" ht="13.5" customHeight="1" x14ac:dyDescent="0.2">
      <c r="B911" s="98"/>
      <c r="C911" s="88"/>
      <c r="D911" s="88"/>
    </row>
    <row r="912" spans="1:4" ht="13.5" customHeight="1" x14ac:dyDescent="0.2">
      <c r="B912" s="98"/>
      <c r="C912" s="88"/>
      <c r="D912" s="88"/>
    </row>
    <row r="913" spans="1:6" s="95" customFormat="1" ht="13.5" customHeight="1" x14ac:dyDescent="0.2">
      <c r="A913" s="1"/>
      <c r="B913" s="98"/>
      <c r="C913" s="88"/>
      <c r="D913" s="88"/>
    </row>
    <row r="914" spans="1:6" s="95" customFormat="1" ht="13.5" customHeight="1" x14ac:dyDescent="0.2">
      <c r="A914" s="1"/>
      <c r="B914" s="98"/>
      <c r="C914" s="88"/>
      <c r="D914" s="88"/>
    </row>
    <row r="915" spans="1:6" s="95" customFormat="1" ht="13.5" customHeight="1" x14ac:dyDescent="0.2">
      <c r="A915" s="1"/>
      <c r="B915" s="83"/>
      <c r="C915" s="75"/>
      <c r="D915" s="75"/>
    </row>
    <row r="916" spans="1:6" s="95" customFormat="1" ht="13.5" customHeight="1" x14ac:dyDescent="0.2">
      <c r="A916" s="1"/>
      <c r="B916" s="2"/>
      <c r="C916" s="3"/>
      <c r="D916" s="3"/>
    </row>
    <row r="917" spans="1:6" ht="13.5" customHeight="1" x14ac:dyDescent="0.2">
      <c r="B917" s="83"/>
      <c r="C917" s="75"/>
      <c r="D917" s="75"/>
    </row>
    <row r="918" spans="1:6" ht="13.5" customHeight="1" x14ac:dyDescent="0.2">
      <c r="B918" s="98"/>
      <c r="C918" s="88"/>
      <c r="D918" s="88"/>
    </row>
    <row r="919" spans="1:6" ht="13.5" customHeight="1" x14ac:dyDescent="0.2">
      <c r="B919" s="98"/>
      <c r="C919" s="88"/>
      <c r="D919" s="88"/>
    </row>
    <row r="920" spans="1:6" s="95" customFormat="1" ht="13.5" customHeight="1" x14ac:dyDescent="0.2">
      <c r="A920" s="1"/>
      <c r="B920" s="98"/>
      <c r="C920" s="88"/>
      <c r="D920" s="88"/>
    </row>
    <row r="921" spans="1:6" s="95" customFormat="1" ht="13.5" customHeight="1" x14ac:dyDescent="0.2">
      <c r="A921" s="1"/>
      <c r="B921" s="2"/>
      <c r="C921" s="3"/>
      <c r="D921" s="3"/>
    </row>
    <row r="922" spans="1:6" ht="13.5" customHeight="1" x14ac:dyDescent="0.2">
      <c r="A922" s="96"/>
      <c r="B922" s="98"/>
      <c r="C922" s="89"/>
      <c r="D922" s="89"/>
    </row>
    <row r="923" spans="1:6" ht="13.5" customHeight="1" x14ac:dyDescent="0.2">
      <c r="A923" s="96"/>
    </row>
    <row r="924" spans="1:6" s="91" customFormat="1" ht="13.5" customHeight="1" x14ac:dyDescent="0.15">
      <c r="A924" s="1"/>
      <c r="B924" s="98"/>
      <c r="C924" s="89"/>
      <c r="D924" s="89"/>
      <c r="E924" s="90"/>
      <c r="F924" s="90"/>
    </row>
    <row r="925" spans="1:6" ht="13.5" customHeight="1" x14ac:dyDescent="0.2">
      <c r="B925" s="98"/>
      <c r="C925" s="89"/>
      <c r="D925" s="89"/>
    </row>
    <row r="926" spans="1:6" ht="13.5" customHeight="1" x14ac:dyDescent="0.2">
      <c r="C926" s="89"/>
      <c r="D926" s="89"/>
    </row>
    <row r="929" spans="2:4" ht="13.5" customHeight="1" x14ac:dyDescent="0.2">
      <c r="B929" s="98"/>
      <c r="C929" s="88"/>
      <c r="D929" s="88"/>
    </row>
    <row r="930" spans="2:4" ht="13.5" customHeight="1" x14ac:dyDescent="0.2">
      <c r="B930" s="98"/>
      <c r="C930" s="88"/>
      <c r="D930" s="88"/>
    </row>
    <row r="932" spans="2:4" ht="13.5" customHeight="1" x14ac:dyDescent="0.2">
      <c r="C932" s="81"/>
      <c r="D932" s="81"/>
    </row>
    <row r="933" spans="2:4" ht="13.5" customHeight="1" x14ac:dyDescent="0.2">
      <c r="B933" s="99"/>
      <c r="C933" s="91"/>
      <c r="D933" s="91"/>
    </row>
    <row r="942" spans="2:4" ht="13.5" customHeight="1" x14ac:dyDescent="0.2">
      <c r="C942" s="95"/>
      <c r="D942" s="95"/>
    </row>
  </sheetData>
  <sheetProtection algorithmName="SHA-512" hashValue="mQddxdRpf1AmjAGCClHlnncXfzEQB3FX51cJuUvmBma+8S7DLrma5r0mS8x8IrRt0u/0bhkvYrPQiX6HjJU4QA==" saltValue="Ez8BgfpTRXwUT+5pJqIYng==" spinCount="100000" sheet="1" objects="1" scenarios="1"/>
  <mergeCells count="3">
    <mergeCell ref="A2:D2"/>
    <mergeCell ref="A47:D47"/>
    <mergeCell ref="H72:J72"/>
  </mergeCells>
  <pageMargins left="1" right="0.2" top="0.78749999999999998" bottom="0.78749999999999998" header="0.51180555555555496" footer="0"/>
  <pageSetup paperSize="9" firstPageNumber="0" fitToHeight="0" orientation="portrait" horizontalDpi="300" verticalDpi="300" r:id="rId1"/>
  <headerFooter>
    <oddFooter>&amp;R&amp;8&amp;P/&amp;N</oddFooter>
  </headerFooter>
  <rowBreaks count="1" manualBreakCount="1">
    <brk id="4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MJ54"/>
  <sheetViews>
    <sheetView view="pageBreakPreview" topLeftCell="B1" zoomScale="120" zoomScaleNormal="100" zoomScalePageLayoutView="120" workbookViewId="0">
      <selection activeCell="F5" sqref="F5:F15"/>
    </sheetView>
  </sheetViews>
  <sheetFormatPr defaultColWidth="9.33203125" defaultRowHeight="12.75" x14ac:dyDescent="0.2"/>
  <cols>
    <col min="1" max="1" width="1.83203125" style="19" hidden="1" customWidth="1"/>
    <col min="2" max="2" width="7.1640625" style="100" customWidth="1"/>
    <col min="3" max="3" width="57.33203125" style="19" customWidth="1"/>
    <col min="4" max="4" width="7.6640625" style="101" customWidth="1"/>
    <col min="5" max="5" width="9.83203125" style="102" bestFit="1" customWidth="1"/>
    <col min="6" max="6" width="12" style="19" customWidth="1"/>
    <col min="7" max="7" width="13.6640625" style="19" customWidth="1"/>
    <col min="8" max="8" width="6.6640625" style="19" customWidth="1"/>
    <col min="9" max="1024" width="9.33203125" style="19"/>
  </cols>
  <sheetData>
    <row r="1" spans="1:7" x14ac:dyDescent="0.2">
      <c r="B1" s="103" t="s">
        <v>15</v>
      </c>
      <c r="C1" s="104" t="s">
        <v>16</v>
      </c>
      <c r="D1" s="105"/>
      <c r="E1" s="105"/>
      <c r="F1" s="105"/>
      <c r="G1" s="105"/>
    </row>
    <row r="2" spans="1:7" x14ac:dyDescent="0.2">
      <c r="C2" s="25"/>
      <c r="D2" s="106"/>
      <c r="E2" s="107"/>
      <c r="F2" s="108"/>
    </row>
    <row r="3" spans="1:7" ht="25.5" x14ac:dyDescent="0.2">
      <c r="A3" s="109"/>
      <c r="B3" s="110" t="s">
        <v>36</v>
      </c>
      <c r="C3" s="111" t="s">
        <v>37</v>
      </c>
      <c r="D3" s="110" t="s">
        <v>38</v>
      </c>
      <c r="E3" s="110" t="s">
        <v>39</v>
      </c>
      <c r="F3" s="110" t="s">
        <v>40</v>
      </c>
      <c r="G3" s="110" t="s">
        <v>41</v>
      </c>
    </row>
    <row r="4" spans="1:7" x14ac:dyDescent="0.2">
      <c r="A4" s="109"/>
      <c r="B4" s="112" t="s">
        <v>42</v>
      </c>
      <c r="C4" s="113" t="s">
        <v>43</v>
      </c>
      <c r="D4" s="114"/>
      <c r="E4" s="115"/>
      <c r="F4" s="113"/>
      <c r="G4" s="113"/>
    </row>
    <row r="5" spans="1:7" ht="25.5" x14ac:dyDescent="0.2">
      <c r="A5" s="109"/>
      <c r="B5" s="112" t="s">
        <v>44</v>
      </c>
      <c r="C5" s="116" t="s">
        <v>45</v>
      </c>
      <c r="D5" s="117" t="s">
        <v>46</v>
      </c>
      <c r="E5" s="118">
        <v>1</v>
      </c>
      <c r="F5" s="119"/>
      <c r="G5" s="120">
        <f t="shared" ref="G5:G11" si="0">+ROUND((E5*F5),2)</f>
        <v>0</v>
      </c>
    </row>
    <row r="6" spans="1:7" ht="76.5" x14ac:dyDescent="0.2">
      <c r="A6" s="109"/>
      <c r="B6" s="112" t="s">
        <v>47</v>
      </c>
      <c r="C6" s="121" t="s">
        <v>48</v>
      </c>
      <c r="D6" s="122" t="s">
        <v>46</v>
      </c>
      <c r="E6" s="118">
        <v>1</v>
      </c>
      <c r="F6" s="119"/>
      <c r="G6" s="120">
        <f t="shared" si="0"/>
        <v>0</v>
      </c>
    </row>
    <row r="7" spans="1:7" ht="76.5" x14ac:dyDescent="0.2">
      <c r="A7" s="109"/>
      <c r="B7" s="112" t="s">
        <v>49</v>
      </c>
      <c r="C7" s="121" t="s">
        <v>50</v>
      </c>
      <c r="D7" s="122" t="s">
        <v>46</v>
      </c>
      <c r="E7" s="118">
        <v>1</v>
      </c>
      <c r="F7" s="119"/>
      <c r="G7" s="120">
        <f t="shared" si="0"/>
        <v>0</v>
      </c>
    </row>
    <row r="8" spans="1:7" ht="38.25" x14ac:dyDescent="0.2">
      <c r="A8" s="109"/>
      <c r="B8" s="112" t="s">
        <v>51</v>
      </c>
      <c r="C8" s="121" t="s">
        <v>52</v>
      </c>
      <c r="D8" s="123" t="s">
        <v>46</v>
      </c>
      <c r="E8" s="118">
        <v>1</v>
      </c>
      <c r="F8" s="119"/>
      <c r="G8" s="120">
        <f t="shared" si="0"/>
        <v>0</v>
      </c>
    </row>
    <row r="9" spans="1:7" ht="38.25" x14ac:dyDescent="0.2">
      <c r="A9" s="109"/>
      <c r="B9" s="112" t="s">
        <v>53</v>
      </c>
      <c r="C9" s="124" t="s">
        <v>54</v>
      </c>
      <c r="D9" s="123" t="s">
        <v>46</v>
      </c>
      <c r="E9" s="118">
        <v>1</v>
      </c>
      <c r="F9" s="119"/>
      <c r="G9" s="120">
        <f t="shared" si="0"/>
        <v>0</v>
      </c>
    </row>
    <row r="10" spans="1:7" ht="102" x14ac:dyDescent="0.2">
      <c r="A10" s="109"/>
      <c r="B10" s="112" t="s">
        <v>55</v>
      </c>
      <c r="C10" s="124" t="s">
        <v>56</v>
      </c>
      <c r="D10" s="123" t="s">
        <v>57</v>
      </c>
      <c r="E10" s="118">
        <f>507+607+383+233</f>
        <v>1730</v>
      </c>
      <c r="F10" s="119"/>
      <c r="G10" s="120">
        <f t="shared" si="0"/>
        <v>0</v>
      </c>
    </row>
    <row r="11" spans="1:7" ht="51" x14ac:dyDescent="0.2">
      <c r="A11" s="109"/>
      <c r="B11" s="112" t="s">
        <v>58</v>
      </c>
      <c r="C11" s="124" t="s">
        <v>59</v>
      </c>
      <c r="D11" s="123" t="s">
        <v>46</v>
      </c>
      <c r="E11" s="118">
        <v>1</v>
      </c>
      <c r="F11" s="119"/>
      <c r="G11" s="120">
        <f t="shared" si="0"/>
        <v>0</v>
      </c>
    </row>
    <row r="12" spans="1:7" x14ac:dyDescent="0.2">
      <c r="A12" s="109"/>
      <c r="B12" s="112" t="s">
        <v>60</v>
      </c>
      <c r="C12" s="125" t="s">
        <v>61</v>
      </c>
      <c r="D12" s="123"/>
      <c r="E12" s="126"/>
      <c r="F12" s="328"/>
      <c r="G12" s="125"/>
    </row>
    <row r="13" spans="1:7" ht="38.25" x14ac:dyDescent="0.2">
      <c r="A13" s="109"/>
      <c r="B13" s="112" t="s">
        <v>62</v>
      </c>
      <c r="C13" s="124" t="s">
        <v>63</v>
      </c>
      <c r="D13" s="123" t="s">
        <v>64</v>
      </c>
      <c r="E13" s="118">
        <v>1</v>
      </c>
      <c r="F13" s="119"/>
      <c r="G13" s="120">
        <f>+ROUND((E13*F13),2)</f>
        <v>0</v>
      </c>
    </row>
    <row r="14" spans="1:7" x14ac:dyDescent="0.2">
      <c r="A14" s="109"/>
      <c r="B14" s="112" t="s">
        <v>65</v>
      </c>
      <c r="C14" s="124" t="s">
        <v>66</v>
      </c>
      <c r="D14" s="123"/>
      <c r="E14" s="118"/>
      <c r="F14" s="119"/>
      <c r="G14" s="120"/>
    </row>
    <row r="15" spans="1:7" ht="63.75" x14ac:dyDescent="0.2">
      <c r="A15" s="109"/>
      <c r="B15" s="112" t="s">
        <v>67</v>
      </c>
      <c r="C15" s="127" t="s">
        <v>68</v>
      </c>
      <c r="D15" s="114" t="s">
        <v>46</v>
      </c>
      <c r="E15" s="128">
        <v>1</v>
      </c>
      <c r="F15" s="171"/>
      <c r="G15" s="130">
        <f>E15*F15</f>
        <v>0</v>
      </c>
    </row>
    <row r="16" spans="1:7" x14ac:dyDescent="0.2">
      <c r="A16" s="109"/>
      <c r="B16" s="112"/>
      <c r="C16" s="131" t="s">
        <v>69</v>
      </c>
      <c r="D16" s="114"/>
      <c r="E16" s="128"/>
      <c r="F16" s="129"/>
      <c r="G16" s="132">
        <f>SUM(G5:G15)</f>
        <v>0</v>
      </c>
    </row>
    <row r="17" spans="1:9" x14ac:dyDescent="0.2">
      <c r="A17" s="133"/>
      <c r="F17" s="134"/>
      <c r="H17" s="133"/>
      <c r="I17" s="133"/>
    </row>
    <row r="18" spans="1:9" x14ac:dyDescent="0.2">
      <c r="A18" s="133"/>
      <c r="H18" s="133"/>
      <c r="I18" s="133"/>
    </row>
    <row r="19" spans="1:9" x14ac:dyDescent="0.2">
      <c r="A19" s="133"/>
      <c r="C19" s="135"/>
      <c r="E19" s="107"/>
      <c r="F19" s="136"/>
      <c r="G19" s="108"/>
      <c r="H19" s="133"/>
      <c r="I19" s="133"/>
    </row>
    <row r="20" spans="1:9" x14ac:dyDescent="0.2">
      <c r="A20" s="133"/>
      <c r="C20" s="135"/>
      <c r="E20" s="107"/>
      <c r="F20" s="136"/>
      <c r="G20" s="108"/>
      <c r="H20" s="133"/>
      <c r="I20" s="133"/>
    </row>
    <row r="21" spans="1:9" x14ac:dyDescent="0.2">
      <c r="A21" s="133"/>
      <c r="C21" s="135"/>
      <c r="E21" s="107"/>
      <c r="F21" s="136"/>
      <c r="G21" s="108"/>
      <c r="H21" s="133"/>
      <c r="I21" s="133"/>
    </row>
    <row r="22" spans="1:9" x14ac:dyDescent="0.2">
      <c r="C22" s="135"/>
      <c r="E22" s="137"/>
      <c r="F22" s="136"/>
      <c r="G22" s="108"/>
      <c r="H22" s="133"/>
      <c r="I22" s="133"/>
    </row>
    <row r="23" spans="1:9" x14ac:dyDescent="0.2">
      <c r="C23" s="135"/>
      <c r="D23" s="106"/>
      <c r="E23" s="138"/>
      <c r="F23" s="136"/>
      <c r="G23" s="108"/>
      <c r="H23" s="133"/>
      <c r="I23" s="133"/>
    </row>
    <row r="24" spans="1:9" x14ac:dyDescent="0.2">
      <c r="C24" s="135"/>
      <c r="E24" s="107"/>
      <c r="F24" s="136"/>
      <c r="G24" s="108"/>
    </row>
    <row r="25" spans="1:9" x14ac:dyDescent="0.2">
      <c r="C25" s="135"/>
      <c r="E25" s="107"/>
      <c r="F25" s="136"/>
      <c r="G25" s="108"/>
    </row>
    <row r="26" spans="1:9" x14ac:dyDescent="0.2">
      <c r="C26" s="107"/>
      <c r="D26" s="106"/>
      <c r="E26" s="107"/>
      <c r="F26" s="136"/>
      <c r="G26" s="108"/>
    </row>
    <row r="27" spans="1:9" x14ac:dyDescent="0.2">
      <c r="C27" s="108"/>
      <c r="E27" s="137"/>
      <c r="F27" s="136"/>
      <c r="G27" s="108"/>
    </row>
    <row r="28" spans="1:9" x14ac:dyDescent="0.2">
      <c r="D28" s="106"/>
      <c r="E28" s="107"/>
      <c r="F28" s="136"/>
      <c r="G28" s="108"/>
    </row>
    <row r="29" spans="1:9" x14ac:dyDescent="0.2">
      <c r="C29" s="135"/>
      <c r="E29" s="107"/>
      <c r="F29" s="136"/>
      <c r="G29" s="108"/>
    </row>
    <row r="30" spans="1:9" x14ac:dyDescent="0.2">
      <c r="C30" s="108"/>
      <c r="E30" s="107"/>
      <c r="F30" s="136"/>
      <c r="G30" s="108"/>
    </row>
    <row r="31" spans="1:9" x14ac:dyDescent="0.2">
      <c r="C31" s="135"/>
      <c r="E31" s="107"/>
      <c r="F31" s="136"/>
      <c r="G31" s="108"/>
    </row>
    <row r="32" spans="1:9" x14ac:dyDescent="0.2">
      <c r="C32" s="135"/>
      <c r="E32" s="107"/>
      <c r="F32" s="136"/>
      <c r="G32" s="108"/>
    </row>
    <row r="33" spans="2:7" x14ac:dyDescent="0.2">
      <c r="C33" s="108"/>
      <c r="D33" s="106"/>
      <c r="E33" s="107"/>
      <c r="F33" s="136"/>
      <c r="G33" s="108"/>
    </row>
    <row r="34" spans="2:7" x14ac:dyDescent="0.2">
      <c r="C34" s="135"/>
      <c r="E34" s="107"/>
      <c r="F34" s="136"/>
      <c r="G34" s="108"/>
    </row>
    <row r="36" spans="2:7" s="19" customFormat="1" x14ac:dyDescent="0.2"/>
    <row r="37" spans="2:7" x14ac:dyDescent="0.2">
      <c r="C37" s="135"/>
      <c r="E37" s="107"/>
      <c r="F37" s="136"/>
      <c r="G37" s="108"/>
    </row>
    <row r="38" spans="2:7" s="19" customFormat="1" x14ac:dyDescent="0.2"/>
    <row r="39" spans="2:7" s="19" customFormat="1" x14ac:dyDescent="0.2"/>
    <row r="40" spans="2:7" s="19" customFormat="1" x14ac:dyDescent="0.2"/>
    <row r="41" spans="2:7" s="19" customFormat="1" x14ac:dyDescent="0.2"/>
    <row r="42" spans="2:7" x14ac:dyDescent="0.2">
      <c r="B42" s="139"/>
      <c r="D42" s="106"/>
      <c r="E42" s="107"/>
      <c r="F42" s="136"/>
      <c r="G42" s="108"/>
    </row>
    <row r="43" spans="2:7" x14ac:dyDescent="0.2">
      <c r="B43" s="140"/>
      <c r="C43" s="133"/>
      <c r="D43" s="141"/>
      <c r="E43" s="142"/>
      <c r="F43" s="133"/>
      <c r="G43" s="133"/>
    </row>
    <row r="44" spans="2:7" x14ac:dyDescent="0.2">
      <c r="B44" s="140"/>
      <c r="C44" s="133"/>
      <c r="D44" s="141"/>
      <c r="E44" s="142"/>
      <c r="F44" s="133"/>
      <c r="G44" s="133"/>
    </row>
    <row r="45" spans="2:7" x14ac:dyDescent="0.2">
      <c r="B45" s="140"/>
      <c r="C45" s="133"/>
      <c r="D45" s="141"/>
      <c r="E45" s="142"/>
      <c r="F45" s="133"/>
      <c r="G45" s="133"/>
    </row>
    <row r="46" spans="2:7" x14ac:dyDescent="0.2">
      <c r="B46" s="140"/>
      <c r="C46" s="133"/>
      <c r="D46" s="141"/>
      <c r="E46" s="142"/>
      <c r="F46" s="133"/>
      <c r="G46" s="133"/>
    </row>
    <row r="47" spans="2:7" x14ac:dyDescent="0.2">
      <c r="B47" s="140"/>
      <c r="C47" s="133"/>
      <c r="D47" s="141"/>
      <c r="E47" s="142"/>
      <c r="F47" s="133"/>
      <c r="G47" s="133"/>
    </row>
    <row r="48" spans="2:7" x14ac:dyDescent="0.2">
      <c r="B48" s="140"/>
      <c r="C48" s="133"/>
      <c r="D48" s="141"/>
      <c r="E48" s="142"/>
      <c r="F48" s="133"/>
      <c r="G48" s="133"/>
    </row>
    <row r="49" spans="2:7" x14ac:dyDescent="0.2">
      <c r="B49" s="140"/>
      <c r="C49" s="133"/>
      <c r="D49" s="141"/>
      <c r="E49" s="142"/>
      <c r="F49" s="133"/>
      <c r="G49" s="133"/>
    </row>
    <row r="50" spans="2:7" x14ac:dyDescent="0.2">
      <c r="B50" s="140"/>
      <c r="C50" s="133"/>
      <c r="D50" s="141"/>
      <c r="E50" s="142"/>
      <c r="F50" s="133"/>
      <c r="G50" s="133"/>
    </row>
    <row r="51" spans="2:7" x14ac:dyDescent="0.2">
      <c r="B51" s="140"/>
      <c r="C51" s="133"/>
      <c r="D51" s="141"/>
      <c r="E51" s="142"/>
      <c r="F51" s="133"/>
      <c r="G51" s="133"/>
    </row>
    <row r="52" spans="2:7" x14ac:dyDescent="0.2">
      <c r="B52" s="140"/>
      <c r="C52" s="133"/>
      <c r="D52" s="141"/>
      <c r="E52" s="142"/>
      <c r="F52" s="133"/>
      <c r="G52" s="133"/>
    </row>
    <row r="53" spans="2:7" x14ac:dyDescent="0.2">
      <c r="B53" s="140"/>
      <c r="C53" s="133"/>
      <c r="D53" s="141"/>
      <c r="E53" s="142"/>
      <c r="F53" s="133"/>
      <c r="G53" s="133"/>
    </row>
    <row r="54" spans="2:7" x14ac:dyDescent="0.2">
      <c r="B54" s="140"/>
      <c r="C54" s="133"/>
      <c r="D54" s="141"/>
      <c r="E54" s="142"/>
      <c r="F54" s="133"/>
      <c r="G54" s="133"/>
    </row>
  </sheetData>
  <sheetProtection algorithmName="SHA-512" hashValue="KJmH7OzDimcwGT55ebVqsvPkKeHrd3GuPyoYEp+p3YLZQuRZfX2vQ7CbPmaMQnpevYt4IszB/f3Qgx2fAfHjuw==" saltValue="v0e1ZBgnoisZ0+3lUMvDoA==" spinCount="100000" sheet="1" objects="1" scenarios="1"/>
  <pageMargins left="0.70866141732283472" right="0.70866141732283472" top="0.74803149606299213" bottom="0.74803149606299213" header="0.51181102362204722" footer="0.31496062992125984"/>
  <pageSetup paperSize="9" scale="90" firstPageNumber="0" fitToHeight="2" orientation="portrait" horizontalDpi="300" verticalDpi="300" r:id="rId1"/>
  <headerFooter>
    <oddFooter>&amp;L&amp;A&amp;RStran &amp;P/&amp;N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DEADA"/>
  </sheetPr>
  <dimension ref="A1:AMJ169"/>
  <sheetViews>
    <sheetView view="pageBreakPreview" topLeftCell="B1" zoomScale="120" zoomScaleNormal="100" zoomScalePageLayoutView="120" workbookViewId="0">
      <selection activeCell="F22" sqref="F22:F144"/>
    </sheetView>
  </sheetViews>
  <sheetFormatPr defaultColWidth="9.33203125" defaultRowHeight="12.75" x14ac:dyDescent="0.2"/>
  <cols>
    <col min="1" max="1" width="1.83203125" style="264" hidden="1" customWidth="1"/>
    <col min="2" max="2" width="7.1640625" style="269" customWidth="1"/>
    <col min="3" max="3" width="57.33203125" style="264" customWidth="1"/>
    <col min="4" max="4" width="6.6640625" style="317" customWidth="1"/>
    <col min="5" max="5" width="9.83203125" style="320" bestFit="1" customWidth="1"/>
    <col min="6" max="6" width="10.5" style="264" customWidth="1"/>
    <col min="7" max="7" width="16.5" style="264" customWidth="1"/>
    <col min="8" max="8" width="6.6640625" style="264" hidden="1" customWidth="1"/>
    <col min="9" max="9" width="18.5" style="264" hidden="1" customWidth="1"/>
    <col min="10" max="10" width="0" style="264" hidden="1" customWidth="1"/>
    <col min="11" max="1024" width="9.33203125" style="264"/>
    <col min="1025" max="16384" width="9.33203125" style="268"/>
  </cols>
  <sheetData>
    <row r="1" spans="2:10" x14ac:dyDescent="0.2">
      <c r="B1" s="265" t="s">
        <v>17</v>
      </c>
      <c r="C1" s="266" t="s">
        <v>70</v>
      </c>
      <c r="D1" s="267"/>
      <c r="E1" s="267"/>
      <c r="F1" s="267"/>
      <c r="G1" s="267"/>
    </row>
    <row r="2" spans="2:10" x14ac:dyDescent="0.2">
      <c r="B2" s="265"/>
      <c r="C2" s="266" t="s">
        <v>19</v>
      </c>
      <c r="D2" s="267"/>
      <c r="E2" s="267"/>
      <c r="F2" s="267"/>
      <c r="G2" s="267"/>
    </row>
    <row r="3" spans="2:10" x14ac:dyDescent="0.2">
      <c r="C3" s="270"/>
      <c r="D3" s="271"/>
      <c r="E3" s="272"/>
      <c r="F3" s="273"/>
    </row>
    <row r="4" spans="2:10" x14ac:dyDescent="0.2">
      <c r="B4" s="233" t="s">
        <v>71</v>
      </c>
      <c r="C4" s="274" t="s">
        <v>72</v>
      </c>
      <c r="D4" s="226"/>
      <c r="E4" s="275"/>
      <c r="F4" s="274"/>
      <c r="G4" s="276">
        <f>+G39</f>
        <v>0</v>
      </c>
      <c r="I4" s="277">
        <f t="shared" ref="I4:I9" si="0">+G4/E$22</f>
        <v>0</v>
      </c>
      <c r="J4" s="278" t="e">
        <f>+G4/G$10</f>
        <v>#DIV/0!</v>
      </c>
    </row>
    <row r="5" spans="2:10" x14ac:dyDescent="0.2">
      <c r="B5" s="233" t="s">
        <v>73</v>
      </c>
      <c r="C5" s="274" t="s">
        <v>74</v>
      </c>
      <c r="D5" s="279"/>
      <c r="E5" s="275"/>
      <c r="F5" s="274"/>
      <c r="G5" s="276">
        <f>G73</f>
        <v>0</v>
      </c>
      <c r="I5" s="277">
        <f t="shared" si="0"/>
        <v>0</v>
      </c>
      <c r="J5" s="278" t="e">
        <f t="shared" ref="J5:J9" si="1">+G5/G$10</f>
        <v>#DIV/0!</v>
      </c>
    </row>
    <row r="6" spans="2:10" x14ac:dyDescent="0.2">
      <c r="B6" s="233" t="s">
        <v>75</v>
      </c>
      <c r="C6" s="274" t="s">
        <v>76</v>
      </c>
      <c r="D6" s="226"/>
      <c r="E6" s="275"/>
      <c r="F6" s="274"/>
      <c r="G6" s="276">
        <f>+G81</f>
        <v>0</v>
      </c>
      <c r="I6" s="277">
        <f t="shared" si="0"/>
        <v>0</v>
      </c>
      <c r="J6" s="278" t="e">
        <f t="shared" si="1"/>
        <v>#DIV/0!</v>
      </c>
    </row>
    <row r="7" spans="2:10" x14ac:dyDescent="0.2">
      <c r="B7" s="233" t="s">
        <v>77</v>
      </c>
      <c r="C7" s="274" t="s">
        <v>78</v>
      </c>
      <c r="D7" s="226"/>
      <c r="E7" s="275"/>
      <c r="F7" s="274"/>
      <c r="G7" s="276">
        <f>+G106</f>
        <v>0</v>
      </c>
      <c r="I7" s="277">
        <f t="shared" si="0"/>
        <v>0</v>
      </c>
      <c r="J7" s="278" t="e">
        <f t="shared" si="1"/>
        <v>#DIV/0!</v>
      </c>
    </row>
    <row r="8" spans="2:10" x14ac:dyDescent="0.2">
      <c r="B8" s="233" t="s">
        <v>79</v>
      </c>
      <c r="C8" s="274" t="s">
        <v>80</v>
      </c>
      <c r="D8" s="226"/>
      <c r="E8" s="275"/>
      <c r="F8" s="274"/>
      <c r="G8" s="276">
        <f>+G140</f>
        <v>0</v>
      </c>
      <c r="I8" s="277">
        <f t="shared" si="0"/>
        <v>0</v>
      </c>
      <c r="J8" s="278" t="e">
        <f t="shared" si="1"/>
        <v>#DIV/0!</v>
      </c>
    </row>
    <row r="9" spans="2:10" x14ac:dyDescent="0.2">
      <c r="B9" s="233" t="s">
        <v>81</v>
      </c>
      <c r="C9" s="274" t="s">
        <v>82</v>
      </c>
      <c r="D9" s="226"/>
      <c r="E9" s="275"/>
      <c r="F9" s="274"/>
      <c r="G9" s="276">
        <f>+G146</f>
        <v>0</v>
      </c>
      <c r="I9" s="277">
        <f t="shared" si="0"/>
        <v>0</v>
      </c>
      <c r="J9" s="278" t="e">
        <f t="shared" si="1"/>
        <v>#DIV/0!</v>
      </c>
    </row>
    <row r="10" spans="2:10" x14ac:dyDescent="0.2">
      <c r="B10" s="233"/>
      <c r="C10" s="280" t="s">
        <v>31</v>
      </c>
      <c r="D10" s="281"/>
      <c r="E10" s="282"/>
      <c r="F10" s="283"/>
      <c r="G10" s="284">
        <f>SUM(G4:G9)</f>
        <v>0</v>
      </c>
      <c r="I10" s="285">
        <f>+G10/E$22</f>
        <v>0</v>
      </c>
      <c r="J10" s="286" t="e">
        <f>SUM(J4:J9)</f>
        <v>#DIV/0!</v>
      </c>
    </row>
    <row r="11" spans="2:10" x14ac:dyDescent="0.2">
      <c r="C11" s="287"/>
      <c r="D11" s="288"/>
      <c r="E11" s="289"/>
      <c r="F11" s="290"/>
      <c r="G11" s="291"/>
    </row>
    <row r="12" spans="2:10" x14ac:dyDescent="0.2">
      <c r="B12" s="292" t="s">
        <v>83</v>
      </c>
      <c r="C12" s="293"/>
      <c r="D12" s="294"/>
      <c r="E12" s="295"/>
      <c r="F12" s="296"/>
      <c r="G12" s="297"/>
    </row>
    <row r="13" spans="2:10" ht="78" customHeight="1" x14ac:dyDescent="0.2">
      <c r="B13" s="326" t="s">
        <v>84</v>
      </c>
      <c r="C13" s="326"/>
      <c r="D13" s="326"/>
      <c r="E13" s="326"/>
      <c r="F13" s="326"/>
      <c r="G13" s="326"/>
    </row>
    <row r="14" spans="2:10" ht="115.5" customHeight="1" x14ac:dyDescent="0.2">
      <c r="B14" s="326" t="s">
        <v>85</v>
      </c>
      <c r="C14" s="326"/>
      <c r="D14" s="326"/>
      <c r="E14" s="326"/>
      <c r="F14" s="326"/>
      <c r="G14" s="326"/>
    </row>
    <row r="15" spans="2:10" ht="64.5" customHeight="1" x14ac:dyDescent="0.2">
      <c r="B15" s="326" t="s">
        <v>86</v>
      </c>
      <c r="C15" s="326"/>
      <c r="D15" s="326"/>
      <c r="E15" s="326"/>
      <c r="F15" s="326"/>
      <c r="G15" s="326"/>
    </row>
    <row r="16" spans="2:10" ht="115.5" customHeight="1" x14ac:dyDescent="0.2">
      <c r="B16" s="326" t="s">
        <v>87</v>
      </c>
      <c r="C16" s="326"/>
      <c r="D16" s="326"/>
      <c r="E16" s="326"/>
      <c r="F16" s="326"/>
      <c r="G16" s="326"/>
    </row>
    <row r="17" spans="2:7" ht="37.5" customHeight="1" x14ac:dyDescent="0.2">
      <c r="B17" s="326" t="s">
        <v>88</v>
      </c>
      <c r="C17" s="326"/>
      <c r="D17" s="326"/>
      <c r="E17" s="326"/>
      <c r="F17" s="326"/>
      <c r="G17" s="326"/>
    </row>
    <row r="18" spans="2:7" x14ac:dyDescent="0.2">
      <c r="B18" s="298"/>
      <c r="C18" s="298"/>
      <c r="D18" s="298"/>
      <c r="E18" s="298"/>
      <c r="F18" s="298"/>
      <c r="G18" s="298"/>
    </row>
    <row r="19" spans="2:7" ht="25.5" x14ac:dyDescent="0.2">
      <c r="B19" s="299" t="s">
        <v>36</v>
      </c>
      <c r="C19" s="300" t="s">
        <v>37</v>
      </c>
      <c r="D19" s="299" t="s">
        <v>38</v>
      </c>
      <c r="E19" s="299" t="s">
        <v>39</v>
      </c>
      <c r="F19" s="299" t="s">
        <v>40</v>
      </c>
      <c r="G19" s="299" t="s">
        <v>41</v>
      </c>
    </row>
    <row r="20" spans="2:7" x14ac:dyDescent="0.2">
      <c r="B20" s="301" t="s">
        <v>71</v>
      </c>
      <c r="C20" s="283" t="s">
        <v>72</v>
      </c>
      <c r="D20" s="226"/>
      <c r="E20" s="275"/>
      <c r="F20" s="274"/>
      <c r="G20" s="274"/>
    </row>
    <row r="21" spans="2:7" x14ac:dyDescent="0.2">
      <c r="B21" s="233" t="s">
        <v>89</v>
      </c>
      <c r="C21" s="274" t="s">
        <v>90</v>
      </c>
      <c r="D21" s="226"/>
      <c r="E21" s="275"/>
      <c r="F21" s="274"/>
      <c r="G21" s="274"/>
    </row>
    <row r="22" spans="2:7" ht="51" x14ac:dyDescent="0.2">
      <c r="B22" s="233" t="s">
        <v>91</v>
      </c>
      <c r="C22" s="302" t="s">
        <v>92</v>
      </c>
      <c r="D22" s="223" t="s">
        <v>57</v>
      </c>
      <c r="E22" s="224">
        <v>507</v>
      </c>
      <c r="F22" s="235"/>
      <c r="G22" s="225">
        <f t="shared" ref="G22:G27" si="2">+ROUND((E22*F22),2)</f>
        <v>0</v>
      </c>
    </row>
    <row r="23" spans="2:7" ht="38.25" x14ac:dyDescent="0.2">
      <c r="B23" s="233" t="s">
        <v>93</v>
      </c>
      <c r="C23" s="222" t="s">
        <v>94</v>
      </c>
      <c r="D23" s="223" t="s">
        <v>95</v>
      </c>
      <c r="E23" s="224">
        <v>16</v>
      </c>
      <c r="F23" s="235"/>
      <c r="G23" s="225">
        <f t="shared" si="2"/>
        <v>0</v>
      </c>
    </row>
    <row r="24" spans="2:7" ht="25.5" x14ac:dyDescent="0.2">
      <c r="B24" s="233" t="s">
        <v>96</v>
      </c>
      <c r="C24" s="302" t="s">
        <v>97</v>
      </c>
      <c r="D24" s="223" t="s">
        <v>57</v>
      </c>
      <c r="E24" s="224">
        <v>450</v>
      </c>
      <c r="F24" s="235"/>
      <c r="G24" s="225">
        <f t="shared" si="2"/>
        <v>0</v>
      </c>
    </row>
    <row r="25" spans="2:7" ht="25.5" x14ac:dyDescent="0.2">
      <c r="B25" s="233" t="s">
        <v>98</v>
      </c>
      <c r="C25" s="302" t="s">
        <v>99</v>
      </c>
      <c r="D25" s="223" t="s">
        <v>64</v>
      </c>
      <c r="E25" s="303">
        <f>E24/20</f>
        <v>22.5</v>
      </c>
      <c r="F25" s="235"/>
      <c r="G25" s="225">
        <f t="shared" si="2"/>
        <v>0</v>
      </c>
    </row>
    <row r="26" spans="2:7" ht="63.75" x14ac:dyDescent="0.2">
      <c r="B26" s="233" t="s">
        <v>100</v>
      </c>
      <c r="C26" s="222" t="s">
        <v>101</v>
      </c>
      <c r="D26" s="226" t="s">
        <v>57</v>
      </c>
      <c r="E26" s="224">
        <f>+E22</f>
        <v>507</v>
      </c>
      <c r="F26" s="235"/>
      <c r="G26" s="225">
        <f t="shared" si="2"/>
        <v>0</v>
      </c>
    </row>
    <row r="27" spans="2:7" ht="51" x14ac:dyDescent="0.2">
      <c r="B27" s="233" t="s">
        <v>102</v>
      </c>
      <c r="C27" s="304" t="s">
        <v>103</v>
      </c>
      <c r="D27" s="226" t="s">
        <v>57</v>
      </c>
      <c r="E27" s="224">
        <f>+E22</f>
        <v>507</v>
      </c>
      <c r="F27" s="235"/>
      <c r="G27" s="225">
        <f t="shared" si="2"/>
        <v>0</v>
      </c>
    </row>
    <row r="28" spans="2:7" x14ac:dyDescent="0.2">
      <c r="B28" s="233" t="s">
        <v>104</v>
      </c>
      <c r="C28" s="305" t="s">
        <v>105</v>
      </c>
      <c r="D28" s="226"/>
      <c r="E28" s="224"/>
      <c r="F28" s="235"/>
      <c r="G28" s="225"/>
    </row>
    <row r="29" spans="2:7" ht="38.25" x14ac:dyDescent="0.2">
      <c r="B29" s="233" t="s">
        <v>106</v>
      </c>
      <c r="C29" s="306" t="s">
        <v>107</v>
      </c>
      <c r="D29" s="307" t="s">
        <v>57</v>
      </c>
      <c r="E29" s="308">
        <f>+E22</f>
        <v>507</v>
      </c>
      <c r="F29" s="235"/>
      <c r="G29" s="225">
        <f>E29*F29</f>
        <v>0</v>
      </c>
    </row>
    <row r="30" spans="2:7" ht="89.25" x14ac:dyDescent="0.2">
      <c r="B30" s="233" t="s">
        <v>108</v>
      </c>
      <c r="C30" s="306" t="s">
        <v>109</v>
      </c>
      <c r="D30" s="307" t="s">
        <v>57</v>
      </c>
      <c r="E30" s="308">
        <v>450</v>
      </c>
      <c r="F30" s="235"/>
      <c r="G30" s="225">
        <f>E30*F30</f>
        <v>0</v>
      </c>
    </row>
    <row r="31" spans="2:7" ht="63.75" x14ac:dyDescent="0.2">
      <c r="B31" s="233" t="s">
        <v>110</v>
      </c>
      <c r="C31" s="306" t="s">
        <v>111</v>
      </c>
      <c r="D31" s="307" t="s">
        <v>57</v>
      </c>
      <c r="E31" s="308">
        <f>E22</f>
        <v>507</v>
      </c>
      <c r="F31" s="235"/>
      <c r="G31" s="225">
        <f>E31*F31</f>
        <v>0</v>
      </c>
    </row>
    <row r="32" spans="2:7" ht="63.75" x14ac:dyDescent="0.2">
      <c r="B32" s="233" t="s">
        <v>112</v>
      </c>
      <c r="C32" s="309" t="s">
        <v>113</v>
      </c>
      <c r="D32" s="307" t="s">
        <v>64</v>
      </c>
      <c r="E32" s="308">
        <v>2</v>
      </c>
      <c r="F32" s="235"/>
      <c r="G32" s="225">
        <f>E32*F32</f>
        <v>0</v>
      </c>
    </row>
    <row r="33" spans="2:8" ht="38.25" x14ac:dyDescent="0.2">
      <c r="B33" s="233" t="s">
        <v>114</v>
      </c>
      <c r="C33" s="234" t="s">
        <v>115</v>
      </c>
      <c r="D33" s="226" t="s">
        <v>46</v>
      </c>
      <c r="E33" s="224">
        <v>1</v>
      </c>
      <c r="F33" s="235"/>
      <c r="G33" s="225">
        <f>E33*F33</f>
        <v>0</v>
      </c>
    </row>
    <row r="34" spans="2:8" x14ac:dyDescent="0.2">
      <c r="B34" s="233" t="s">
        <v>116</v>
      </c>
      <c r="C34" s="234" t="s">
        <v>117</v>
      </c>
      <c r="D34" s="226"/>
      <c r="E34" s="224"/>
      <c r="F34" s="235"/>
      <c r="G34" s="225"/>
    </row>
    <row r="35" spans="2:8" ht="25.5" x14ac:dyDescent="0.2">
      <c r="B35" s="233" t="s">
        <v>118</v>
      </c>
      <c r="C35" s="306" t="s">
        <v>119</v>
      </c>
      <c r="D35" s="307" t="s">
        <v>120</v>
      </c>
      <c r="E35" s="308">
        <v>20</v>
      </c>
      <c r="F35" s="235"/>
      <c r="G35" s="225">
        <f>E35*F35</f>
        <v>0</v>
      </c>
    </row>
    <row r="36" spans="2:8" ht="25.5" x14ac:dyDescent="0.2">
      <c r="B36" s="233" t="s">
        <v>121</v>
      </c>
      <c r="C36" s="306" t="s">
        <v>122</v>
      </c>
      <c r="D36" s="307" t="s">
        <v>120</v>
      </c>
      <c r="E36" s="308">
        <v>5</v>
      </c>
      <c r="F36" s="235"/>
      <c r="G36" s="225">
        <f>E36*F36</f>
        <v>0</v>
      </c>
    </row>
    <row r="37" spans="2:8" ht="38.25" x14ac:dyDescent="0.2">
      <c r="B37" s="233" t="s">
        <v>123</v>
      </c>
      <c r="C37" s="234" t="s">
        <v>124</v>
      </c>
      <c r="D37" s="307" t="s">
        <v>120</v>
      </c>
      <c r="E37" s="308">
        <v>25</v>
      </c>
      <c r="F37" s="235"/>
      <c r="G37" s="225">
        <f>E37*F37</f>
        <v>0</v>
      </c>
    </row>
    <row r="38" spans="2:8" ht="38.25" x14ac:dyDescent="0.2">
      <c r="B38" s="233" t="s">
        <v>125</v>
      </c>
      <c r="C38" s="234" t="s">
        <v>126</v>
      </c>
      <c r="D38" s="226"/>
      <c r="E38" s="224"/>
      <c r="F38" s="235"/>
      <c r="G38" s="225">
        <f>+ROUND((SUM(G22:G37)*0.1),-1)</f>
        <v>0</v>
      </c>
    </row>
    <row r="39" spans="2:8" x14ac:dyDescent="0.2">
      <c r="B39" s="233"/>
      <c r="C39" s="283" t="s">
        <v>127</v>
      </c>
      <c r="D39" s="226"/>
      <c r="E39" s="224"/>
      <c r="F39" s="235"/>
      <c r="G39" s="310">
        <f>SUM(G22:G38)</f>
        <v>0</v>
      </c>
    </row>
    <row r="40" spans="2:8" x14ac:dyDescent="0.2">
      <c r="B40" s="301" t="s">
        <v>73</v>
      </c>
      <c r="C40" s="283" t="s">
        <v>74</v>
      </c>
      <c r="D40" s="226"/>
      <c r="E40" s="275"/>
      <c r="F40" s="329"/>
      <c r="G40" s="274"/>
    </row>
    <row r="41" spans="2:8" x14ac:dyDescent="0.2">
      <c r="B41" s="233" t="s">
        <v>128</v>
      </c>
      <c r="C41" s="274" t="s">
        <v>129</v>
      </c>
      <c r="D41" s="226"/>
      <c r="E41" s="275"/>
      <c r="F41" s="329"/>
      <c r="G41" s="274"/>
    </row>
    <row r="42" spans="2:8" ht="63.75" hidden="1" x14ac:dyDescent="0.2">
      <c r="B42" s="233" t="s">
        <v>130</v>
      </c>
      <c r="C42" s="311" t="s">
        <v>131</v>
      </c>
      <c r="D42" s="223" t="s">
        <v>132</v>
      </c>
      <c r="E42" s="224"/>
      <c r="F42" s="235"/>
      <c r="G42" s="225">
        <f t="shared" ref="G42:G50" si="3">+ROUND((E42*F42),2)</f>
        <v>0</v>
      </c>
      <c r="H42" s="264" t="s">
        <v>133</v>
      </c>
    </row>
    <row r="43" spans="2:8" ht="51" x14ac:dyDescent="0.2">
      <c r="B43" s="233" t="s">
        <v>134</v>
      </c>
      <c r="C43" s="234" t="s">
        <v>135</v>
      </c>
      <c r="D43" s="226" t="s">
        <v>136</v>
      </c>
      <c r="E43" s="224">
        <f>124+43+32+63</f>
        <v>262</v>
      </c>
      <c r="F43" s="235"/>
      <c r="G43" s="225">
        <f t="shared" si="3"/>
        <v>0</v>
      </c>
    </row>
    <row r="44" spans="2:8" ht="51" x14ac:dyDescent="0.2">
      <c r="B44" s="233" t="s">
        <v>137</v>
      </c>
      <c r="C44" s="234" t="s">
        <v>138</v>
      </c>
      <c r="D44" s="226" t="s">
        <v>136</v>
      </c>
      <c r="E44" s="224">
        <f>70*2.7+315*2</f>
        <v>819</v>
      </c>
      <c r="F44" s="235"/>
      <c r="G44" s="225">
        <f t="shared" si="3"/>
        <v>0</v>
      </c>
    </row>
    <row r="45" spans="2:8" ht="63.75" x14ac:dyDescent="0.2">
      <c r="B45" s="233" t="s">
        <v>139</v>
      </c>
      <c r="C45" s="234" t="s">
        <v>140</v>
      </c>
      <c r="D45" s="226" t="s">
        <v>136</v>
      </c>
      <c r="E45" s="224">
        <f>385*4.75</f>
        <v>1828.75</v>
      </c>
      <c r="F45" s="235"/>
      <c r="G45" s="225">
        <f t="shared" si="3"/>
        <v>0</v>
      </c>
    </row>
    <row r="46" spans="2:8" ht="25.5" x14ac:dyDescent="0.2">
      <c r="B46" s="233" t="s">
        <v>141</v>
      </c>
      <c r="C46" s="302" t="s">
        <v>142</v>
      </c>
      <c r="D46" s="223" t="s">
        <v>57</v>
      </c>
      <c r="E46" s="224">
        <f>10+14+15+12</f>
        <v>51</v>
      </c>
      <c r="F46" s="235"/>
      <c r="G46" s="225">
        <f t="shared" si="3"/>
        <v>0</v>
      </c>
    </row>
    <row r="47" spans="2:8" ht="25.5" x14ac:dyDescent="0.2">
      <c r="B47" s="233" t="s">
        <v>143</v>
      </c>
      <c r="C47" s="302" t="s">
        <v>144</v>
      </c>
      <c r="D47" s="223" t="s">
        <v>57</v>
      </c>
      <c r="E47" s="224">
        <f>385*2</f>
        <v>770</v>
      </c>
      <c r="F47" s="235"/>
      <c r="G47" s="225">
        <f t="shared" si="3"/>
        <v>0</v>
      </c>
    </row>
    <row r="48" spans="2:8" ht="63.75" x14ac:dyDescent="0.2">
      <c r="B48" s="233" t="s">
        <v>145</v>
      </c>
      <c r="C48" s="311" t="s">
        <v>146</v>
      </c>
      <c r="D48" s="223" t="s">
        <v>132</v>
      </c>
      <c r="E48" s="224">
        <f>+(385-70)*2*0.2</f>
        <v>126</v>
      </c>
      <c r="F48" s="235"/>
      <c r="G48" s="225">
        <f t="shared" si="3"/>
        <v>0</v>
      </c>
    </row>
    <row r="49" spans="2:8" ht="44.25" customHeight="1" x14ac:dyDescent="0.2">
      <c r="B49" s="233" t="s">
        <v>147</v>
      </c>
      <c r="C49" s="234" t="s">
        <v>148</v>
      </c>
      <c r="D49" s="226" t="s">
        <v>57</v>
      </c>
      <c r="E49" s="224">
        <v>3</v>
      </c>
      <c r="F49" s="235"/>
      <c r="G49" s="225">
        <f t="shared" si="3"/>
        <v>0</v>
      </c>
      <c r="H49" s="264" t="s">
        <v>149</v>
      </c>
    </row>
    <row r="50" spans="2:8" ht="63.75" hidden="1" x14ac:dyDescent="0.2">
      <c r="B50" s="233" t="s">
        <v>150</v>
      </c>
      <c r="C50" s="234" t="s">
        <v>151</v>
      </c>
      <c r="D50" s="226" t="s">
        <v>132</v>
      </c>
      <c r="E50" s="312">
        <f>E41*0.6</f>
        <v>0</v>
      </c>
      <c r="F50" s="235"/>
      <c r="G50" s="225">
        <f t="shared" si="3"/>
        <v>0</v>
      </c>
      <c r="H50" s="264" t="s">
        <v>152</v>
      </c>
    </row>
    <row r="51" spans="2:8" x14ac:dyDescent="0.2">
      <c r="B51" s="233" t="s">
        <v>153</v>
      </c>
      <c r="C51" s="274" t="s">
        <v>154</v>
      </c>
      <c r="D51" s="226"/>
      <c r="E51" s="224"/>
      <c r="F51" s="235"/>
      <c r="G51" s="225"/>
    </row>
    <row r="52" spans="2:8" ht="38.25" hidden="1" x14ac:dyDescent="0.2">
      <c r="B52" s="233" t="s">
        <v>155</v>
      </c>
      <c r="C52" s="234" t="s">
        <v>156</v>
      </c>
      <c r="D52" s="226" t="s">
        <v>136</v>
      </c>
      <c r="E52" s="312">
        <v>0</v>
      </c>
      <c r="F52" s="235"/>
      <c r="G52" s="225">
        <f t="shared" ref="G52:G67" si="4">+ROUND((E52*F52),2)</f>
        <v>0</v>
      </c>
      <c r="H52" s="264" t="s">
        <v>152</v>
      </c>
    </row>
    <row r="53" spans="2:8" ht="51" x14ac:dyDescent="0.2">
      <c r="B53" s="233" t="s">
        <v>157</v>
      </c>
      <c r="C53" s="234" t="s">
        <v>158</v>
      </c>
      <c r="D53" s="226" t="s">
        <v>132</v>
      </c>
      <c r="E53" s="224">
        <f>(E43+E44)*0.4</f>
        <v>432.40000000000003</v>
      </c>
      <c r="F53" s="235"/>
      <c r="G53" s="225">
        <f t="shared" si="4"/>
        <v>0</v>
      </c>
    </row>
    <row r="54" spans="2:8" ht="25.5" x14ac:dyDescent="0.2">
      <c r="B54" s="233" t="s">
        <v>159</v>
      </c>
      <c r="C54" s="234" t="s">
        <v>160</v>
      </c>
      <c r="D54" s="226" t="s">
        <v>136</v>
      </c>
      <c r="E54" s="224">
        <f>E43+E44</f>
        <v>1081</v>
      </c>
      <c r="F54" s="235"/>
      <c r="G54" s="225">
        <f t="shared" si="4"/>
        <v>0</v>
      </c>
    </row>
    <row r="55" spans="2:8" ht="51" x14ac:dyDescent="0.2">
      <c r="B55" s="233" t="s">
        <v>161</v>
      </c>
      <c r="C55" s="234" t="s">
        <v>162</v>
      </c>
      <c r="D55" s="226" t="s">
        <v>132</v>
      </c>
      <c r="E55" s="224">
        <f>(E43+E44)*0.25</f>
        <v>270.25</v>
      </c>
      <c r="F55" s="235"/>
      <c r="G55" s="225">
        <f t="shared" si="4"/>
        <v>0</v>
      </c>
    </row>
    <row r="56" spans="2:8" ht="38.25" x14ac:dyDescent="0.2">
      <c r="B56" s="233" t="s">
        <v>163</v>
      </c>
      <c r="C56" s="234" t="s">
        <v>164</v>
      </c>
      <c r="D56" s="226" t="s">
        <v>46</v>
      </c>
      <c r="E56" s="224">
        <v>1</v>
      </c>
      <c r="F56" s="235"/>
      <c r="G56" s="225">
        <f t="shared" si="4"/>
        <v>0</v>
      </c>
    </row>
    <row r="57" spans="2:8" ht="25.5" x14ac:dyDescent="0.2">
      <c r="B57" s="233" t="s">
        <v>165</v>
      </c>
      <c r="C57" s="234" t="s">
        <v>166</v>
      </c>
      <c r="D57" s="226" t="s">
        <v>136</v>
      </c>
      <c r="E57" s="224">
        <f>+E43+E44</f>
        <v>1081</v>
      </c>
      <c r="F57" s="235"/>
      <c r="G57" s="225">
        <f t="shared" si="4"/>
        <v>0</v>
      </c>
    </row>
    <row r="58" spans="2:8" ht="25.5" x14ac:dyDescent="0.2">
      <c r="B58" s="233" t="s">
        <v>167</v>
      </c>
      <c r="C58" s="234" t="s">
        <v>168</v>
      </c>
      <c r="D58" s="226" t="s">
        <v>136</v>
      </c>
      <c r="E58" s="224">
        <f>+E43+E44</f>
        <v>1081</v>
      </c>
      <c r="F58" s="235"/>
      <c r="G58" s="225">
        <f t="shared" si="4"/>
        <v>0</v>
      </c>
    </row>
    <row r="59" spans="2:8" ht="51" x14ac:dyDescent="0.2">
      <c r="B59" s="233" t="s">
        <v>169</v>
      </c>
      <c r="C59" s="234" t="s">
        <v>170</v>
      </c>
      <c r="D59" s="226" t="s">
        <v>171</v>
      </c>
      <c r="E59" s="224">
        <f>E46+E47</f>
        <v>821</v>
      </c>
      <c r="F59" s="235"/>
      <c r="G59" s="225">
        <f t="shared" si="4"/>
        <v>0</v>
      </c>
    </row>
    <row r="60" spans="2:8" ht="38.25" x14ac:dyDescent="0.2">
      <c r="B60" s="233" t="s">
        <v>172</v>
      </c>
      <c r="C60" s="234" t="s">
        <v>173</v>
      </c>
      <c r="D60" s="226" t="s">
        <v>136</v>
      </c>
      <c r="E60" s="224">
        <f>E43</f>
        <v>262</v>
      </c>
      <c r="F60" s="235"/>
      <c r="G60" s="225">
        <f t="shared" si="4"/>
        <v>0</v>
      </c>
      <c r="H60" s="264" t="s">
        <v>174</v>
      </c>
    </row>
    <row r="61" spans="2:8" ht="38.25" x14ac:dyDescent="0.2">
      <c r="B61" s="233" t="s">
        <v>175</v>
      </c>
      <c r="C61" s="234" t="s">
        <v>176</v>
      </c>
      <c r="D61" s="226" t="s">
        <v>136</v>
      </c>
      <c r="E61" s="224">
        <f>E43</f>
        <v>262</v>
      </c>
      <c r="F61" s="235"/>
      <c r="G61" s="225">
        <f t="shared" si="4"/>
        <v>0</v>
      </c>
      <c r="H61" s="264" t="s">
        <v>174</v>
      </c>
    </row>
    <row r="62" spans="2:8" ht="38.25" x14ac:dyDescent="0.2">
      <c r="B62" s="233" t="s">
        <v>177</v>
      </c>
      <c r="C62" s="234" t="s">
        <v>178</v>
      </c>
      <c r="D62" s="226" t="s">
        <v>136</v>
      </c>
      <c r="E62" s="224">
        <f>+E44</f>
        <v>819</v>
      </c>
      <c r="F62" s="235"/>
      <c r="G62" s="225">
        <f t="shared" si="4"/>
        <v>0</v>
      </c>
      <c r="H62" s="264" t="s">
        <v>179</v>
      </c>
    </row>
    <row r="63" spans="2:8" ht="38.25" x14ac:dyDescent="0.2">
      <c r="B63" s="233" t="s">
        <v>180</v>
      </c>
      <c r="C63" s="234" t="s">
        <v>181</v>
      </c>
      <c r="D63" s="226" t="s">
        <v>136</v>
      </c>
      <c r="E63" s="224">
        <f>+E44</f>
        <v>819</v>
      </c>
      <c r="F63" s="235"/>
      <c r="G63" s="225">
        <f t="shared" si="4"/>
        <v>0</v>
      </c>
      <c r="H63" s="264" t="s">
        <v>179</v>
      </c>
    </row>
    <row r="64" spans="2:8" ht="38.25" x14ac:dyDescent="0.2">
      <c r="B64" s="233" t="s">
        <v>182</v>
      </c>
      <c r="C64" s="234" t="s">
        <v>183</v>
      </c>
      <c r="D64" s="226" t="s">
        <v>136</v>
      </c>
      <c r="E64" s="224">
        <f>+E45</f>
        <v>1828.75</v>
      </c>
      <c r="F64" s="235"/>
      <c r="G64" s="225">
        <f t="shared" si="4"/>
        <v>0</v>
      </c>
      <c r="H64" s="264" t="s">
        <v>179</v>
      </c>
    </row>
    <row r="65" spans="2:8" ht="25.5" x14ac:dyDescent="0.2">
      <c r="B65" s="233" t="s">
        <v>184</v>
      </c>
      <c r="C65" s="234" t="s">
        <v>185</v>
      </c>
      <c r="D65" s="226" t="s">
        <v>57</v>
      </c>
      <c r="E65" s="224">
        <f>+E49</f>
        <v>3</v>
      </c>
      <c r="F65" s="235"/>
      <c r="G65" s="225">
        <f t="shared" si="4"/>
        <v>0</v>
      </c>
    </row>
    <row r="66" spans="2:8" ht="25.5" hidden="1" x14ac:dyDescent="0.2">
      <c r="B66" s="233" t="s">
        <v>186</v>
      </c>
      <c r="C66" s="234" t="s">
        <v>187</v>
      </c>
      <c r="D66" s="226" t="s">
        <v>57</v>
      </c>
      <c r="E66" s="224"/>
      <c r="F66" s="235"/>
      <c r="G66" s="225">
        <f t="shared" si="4"/>
        <v>0</v>
      </c>
    </row>
    <row r="67" spans="2:8" hidden="1" x14ac:dyDescent="0.2">
      <c r="B67" s="233" t="s">
        <v>188</v>
      </c>
      <c r="C67" s="234" t="s">
        <v>189</v>
      </c>
      <c r="D67" s="226" t="s">
        <v>57</v>
      </c>
      <c r="E67" s="224"/>
      <c r="F67" s="235"/>
      <c r="G67" s="225">
        <f t="shared" si="4"/>
        <v>0</v>
      </c>
    </row>
    <row r="68" spans="2:8" ht="25.5" hidden="1" x14ac:dyDescent="0.2">
      <c r="B68" s="233" t="s">
        <v>190</v>
      </c>
      <c r="C68" s="234" t="s">
        <v>191</v>
      </c>
      <c r="D68" s="226" t="s">
        <v>57</v>
      </c>
      <c r="E68" s="224"/>
      <c r="F68" s="235"/>
      <c r="G68" s="313">
        <f>+E68*F68</f>
        <v>0</v>
      </c>
    </row>
    <row r="69" spans="2:8" ht="44.25" hidden="1" customHeight="1" x14ac:dyDescent="0.2">
      <c r="B69" s="233" t="s">
        <v>192</v>
      </c>
      <c r="C69" s="234" t="s">
        <v>193</v>
      </c>
      <c r="D69" s="226" t="s">
        <v>64</v>
      </c>
      <c r="E69" s="224"/>
      <c r="F69" s="235"/>
      <c r="G69" s="313">
        <f>+E69*F69</f>
        <v>0</v>
      </c>
    </row>
    <row r="70" spans="2:8" ht="63.75" x14ac:dyDescent="0.2">
      <c r="B70" s="233" t="s">
        <v>194</v>
      </c>
      <c r="C70" s="234" t="s">
        <v>195</v>
      </c>
      <c r="D70" s="226" t="s">
        <v>57</v>
      </c>
      <c r="E70" s="224">
        <v>450</v>
      </c>
      <c r="F70" s="235"/>
      <c r="G70" s="225">
        <f>+ROUND((E70*F70),2)</f>
        <v>0</v>
      </c>
    </row>
    <row r="71" spans="2:8" ht="63.75" x14ac:dyDescent="0.2">
      <c r="B71" s="233" t="s">
        <v>196</v>
      </c>
      <c r="C71" s="234" t="s">
        <v>197</v>
      </c>
      <c r="D71" s="226" t="s">
        <v>57</v>
      </c>
      <c r="E71" s="224">
        <v>450</v>
      </c>
      <c r="F71" s="235"/>
      <c r="G71" s="225">
        <f>+ROUND((E71*F71),2)</f>
        <v>0</v>
      </c>
    </row>
    <row r="72" spans="2:8" ht="38.25" x14ac:dyDescent="0.2">
      <c r="B72" s="233" t="s">
        <v>198</v>
      </c>
      <c r="C72" s="234" t="s">
        <v>126</v>
      </c>
      <c r="D72" s="226"/>
      <c r="E72" s="224"/>
      <c r="F72" s="235"/>
      <c r="G72" s="225">
        <f>+ROUND((SUM(G42:G70)*0.1),-1)</f>
        <v>0</v>
      </c>
    </row>
    <row r="73" spans="2:8" x14ac:dyDescent="0.2">
      <c r="B73" s="233"/>
      <c r="C73" s="283" t="s">
        <v>199</v>
      </c>
      <c r="D73" s="226"/>
      <c r="E73" s="224"/>
      <c r="F73" s="235"/>
      <c r="G73" s="310">
        <f>SUM(G42:G72)</f>
        <v>0</v>
      </c>
    </row>
    <row r="74" spans="2:8" x14ac:dyDescent="0.2">
      <c r="B74" s="301" t="s">
        <v>75</v>
      </c>
      <c r="C74" s="283" t="s">
        <v>76</v>
      </c>
      <c r="D74" s="226"/>
      <c r="E74" s="224"/>
      <c r="F74" s="235"/>
      <c r="G74" s="225"/>
      <c r="H74" s="314"/>
    </row>
    <row r="75" spans="2:8" x14ac:dyDescent="0.2">
      <c r="B75" s="233" t="s">
        <v>200</v>
      </c>
      <c r="C75" s="234" t="s">
        <v>129</v>
      </c>
      <c r="D75" s="226"/>
      <c r="E75" s="224"/>
      <c r="F75" s="235"/>
      <c r="G75" s="225"/>
      <c r="H75" s="314"/>
    </row>
    <row r="76" spans="2:8" ht="38.25" x14ac:dyDescent="0.2">
      <c r="B76" s="233" t="s">
        <v>201</v>
      </c>
      <c r="C76" s="234" t="s">
        <v>202</v>
      </c>
      <c r="D76" s="226" t="s">
        <v>57</v>
      </c>
      <c r="E76" s="224">
        <v>8</v>
      </c>
      <c r="F76" s="235"/>
      <c r="G76" s="225">
        <f>+ROUND((E76*F76),2)</f>
        <v>0</v>
      </c>
      <c r="H76" s="314"/>
    </row>
    <row r="77" spans="2:8" ht="38.25" hidden="1" x14ac:dyDescent="0.2">
      <c r="B77" s="233" t="s">
        <v>203</v>
      </c>
      <c r="C77" s="234" t="s">
        <v>204</v>
      </c>
      <c r="D77" s="226" t="s">
        <v>64</v>
      </c>
      <c r="E77" s="224"/>
      <c r="F77" s="235"/>
      <c r="G77" s="225">
        <f>+ROUND((E77*F77),2)</f>
        <v>0</v>
      </c>
      <c r="H77" s="314"/>
    </row>
    <row r="78" spans="2:8" x14ac:dyDescent="0.2">
      <c r="B78" s="233" t="s">
        <v>205</v>
      </c>
      <c r="C78" s="234" t="s">
        <v>206</v>
      </c>
      <c r="D78" s="226"/>
      <c r="E78" s="224"/>
      <c r="F78" s="235"/>
      <c r="G78" s="225"/>
      <c r="H78" s="314"/>
    </row>
    <row r="79" spans="2:8" ht="51" hidden="1" x14ac:dyDescent="0.2">
      <c r="B79" s="233" t="s">
        <v>207</v>
      </c>
      <c r="C79" s="234" t="s">
        <v>208</v>
      </c>
      <c r="D79" s="226" t="s">
        <v>57</v>
      </c>
      <c r="E79" s="224"/>
      <c r="F79" s="235"/>
      <c r="G79" s="225">
        <f>+ROUND((E79*F79),2)</f>
        <v>0</v>
      </c>
      <c r="H79" s="314"/>
    </row>
    <row r="80" spans="2:8" ht="38.25" x14ac:dyDescent="0.2">
      <c r="B80" s="233" t="s">
        <v>209</v>
      </c>
      <c r="C80" s="234" t="s">
        <v>126</v>
      </c>
      <c r="D80" s="226"/>
      <c r="E80" s="224"/>
      <c r="F80" s="235"/>
      <c r="G80" s="225">
        <f>+ROUND((SUM(G76:G79)*0.1),-1)</f>
        <v>0</v>
      </c>
    </row>
    <row r="81" spans="2:10" x14ac:dyDescent="0.2">
      <c r="B81" s="233"/>
      <c r="C81" s="283" t="s">
        <v>210</v>
      </c>
      <c r="D81" s="226"/>
      <c r="E81" s="224"/>
      <c r="F81" s="235"/>
      <c r="G81" s="310">
        <f>SUM(G76:G80)</f>
        <v>0</v>
      </c>
    </row>
    <row r="82" spans="2:10" x14ac:dyDescent="0.2">
      <c r="B82" s="301" t="s">
        <v>77</v>
      </c>
      <c r="C82" s="283" t="s">
        <v>78</v>
      </c>
      <c r="D82" s="226"/>
      <c r="E82" s="224"/>
      <c r="F82" s="235"/>
      <c r="G82" s="225"/>
    </row>
    <row r="83" spans="2:10" ht="76.5" x14ac:dyDescent="0.2">
      <c r="B83" s="301"/>
      <c r="C83" s="304" t="s">
        <v>211</v>
      </c>
      <c r="D83" s="226"/>
      <c r="E83" s="224"/>
      <c r="F83" s="235"/>
      <c r="G83" s="225"/>
    </row>
    <row r="84" spans="2:10" x14ac:dyDescent="0.2">
      <c r="B84" s="233" t="s">
        <v>212</v>
      </c>
      <c r="C84" s="234" t="s">
        <v>213</v>
      </c>
      <c r="D84" s="226"/>
      <c r="E84" s="224"/>
      <c r="F84" s="235"/>
      <c r="G84" s="225"/>
    </row>
    <row r="85" spans="2:10" ht="51" x14ac:dyDescent="0.2">
      <c r="B85" s="233" t="s">
        <v>214</v>
      </c>
      <c r="C85" s="234" t="s">
        <v>215</v>
      </c>
      <c r="D85" s="226" t="s">
        <v>136</v>
      </c>
      <c r="E85" s="224">
        <v>1813</v>
      </c>
      <c r="F85" s="235"/>
      <c r="G85" s="225">
        <f t="shared" ref="G85:G92" si="5">+ROUND((E85*F85),2)</f>
        <v>0</v>
      </c>
      <c r="I85" s="273"/>
    </row>
    <row r="86" spans="2:10" ht="51" x14ac:dyDescent="0.2">
      <c r="B86" s="233" t="s">
        <v>216</v>
      </c>
      <c r="C86" s="234" t="s">
        <v>217</v>
      </c>
      <c r="D86" s="226" t="s">
        <v>136</v>
      </c>
      <c r="E86" s="224">
        <v>685</v>
      </c>
      <c r="F86" s="235"/>
      <c r="G86" s="225">
        <f t="shared" si="5"/>
        <v>0</v>
      </c>
      <c r="I86" s="273"/>
    </row>
    <row r="87" spans="2:10" ht="25.5" x14ac:dyDescent="0.2">
      <c r="B87" s="233" t="s">
        <v>218</v>
      </c>
      <c r="C87" s="234" t="s">
        <v>219</v>
      </c>
      <c r="D87" s="226" t="s">
        <v>132</v>
      </c>
      <c r="E87" s="224">
        <v>1807</v>
      </c>
      <c r="F87" s="235"/>
      <c r="G87" s="225">
        <f t="shared" si="5"/>
        <v>0</v>
      </c>
    </row>
    <row r="88" spans="2:10" ht="25.5" x14ac:dyDescent="0.2">
      <c r="B88" s="233" t="s">
        <v>220</v>
      </c>
      <c r="C88" s="234" t="s">
        <v>221</v>
      </c>
      <c r="D88" s="226" t="s">
        <v>132</v>
      </c>
      <c r="E88" s="224">
        <v>17</v>
      </c>
      <c r="F88" s="235"/>
      <c r="G88" s="225">
        <f t="shared" si="5"/>
        <v>0</v>
      </c>
    </row>
    <row r="89" spans="2:10" ht="38.25" x14ac:dyDescent="0.2">
      <c r="B89" s="233" t="s">
        <v>222</v>
      </c>
      <c r="C89" s="234" t="s">
        <v>223</v>
      </c>
      <c r="D89" s="226" t="s">
        <v>132</v>
      </c>
      <c r="E89" s="224">
        <v>215.04</v>
      </c>
      <c r="F89" s="235"/>
      <c r="G89" s="225">
        <f t="shared" si="5"/>
        <v>0</v>
      </c>
      <c r="I89" s="264">
        <f>+E87+E88+E89+E90</f>
        <v>2228.6579999999999</v>
      </c>
      <c r="J89" s="273"/>
    </row>
    <row r="90" spans="2:10" ht="25.5" x14ac:dyDescent="0.2">
      <c r="B90" s="233" t="s">
        <v>224</v>
      </c>
      <c r="C90" s="234" t="s">
        <v>225</v>
      </c>
      <c r="D90" s="226" t="s">
        <v>132</v>
      </c>
      <c r="E90" s="224">
        <f>+E95+E96</f>
        <v>189.61799999999999</v>
      </c>
      <c r="F90" s="235"/>
      <c r="G90" s="225">
        <f t="shared" si="5"/>
        <v>0</v>
      </c>
      <c r="J90" s="273"/>
    </row>
    <row r="91" spans="2:10" ht="25.5" x14ac:dyDescent="0.2">
      <c r="B91" s="233" t="s">
        <v>226</v>
      </c>
      <c r="C91" s="234" t="s">
        <v>227</v>
      </c>
      <c r="D91" s="226" t="s">
        <v>132</v>
      </c>
      <c r="E91" s="224">
        <f>+(E87+E88+E89)*0.02</f>
        <v>40.780799999999999</v>
      </c>
      <c r="F91" s="235"/>
      <c r="G91" s="225">
        <f t="shared" si="5"/>
        <v>0</v>
      </c>
    </row>
    <row r="92" spans="2:10" ht="25.5" x14ac:dyDescent="0.2">
      <c r="B92" s="233" t="s">
        <v>228</v>
      </c>
      <c r="C92" s="234" t="s">
        <v>229</v>
      </c>
      <c r="D92" s="226" t="s">
        <v>120</v>
      </c>
      <c r="E92" s="224">
        <v>168</v>
      </c>
      <c r="F92" s="235"/>
      <c r="G92" s="225">
        <f t="shared" si="5"/>
        <v>0</v>
      </c>
    </row>
    <row r="93" spans="2:10" x14ac:dyDescent="0.2">
      <c r="B93" s="233" t="s">
        <v>230</v>
      </c>
      <c r="C93" s="234" t="s">
        <v>231</v>
      </c>
      <c r="D93" s="226"/>
      <c r="E93" s="224"/>
      <c r="F93" s="235"/>
      <c r="G93" s="225"/>
    </row>
    <row r="94" spans="2:10" ht="25.5" x14ac:dyDescent="0.2">
      <c r="B94" s="233" t="s">
        <v>232</v>
      </c>
      <c r="C94" s="234" t="s">
        <v>233</v>
      </c>
      <c r="D94" s="226" t="s">
        <v>136</v>
      </c>
      <c r="E94" s="224">
        <f>E22*1.7</f>
        <v>861.9</v>
      </c>
      <c r="F94" s="235"/>
      <c r="G94" s="225">
        <f t="shared" ref="G94:G101" si="6">+ROUND((E94*F94),2)</f>
        <v>0</v>
      </c>
    </row>
    <row r="95" spans="2:10" ht="76.5" x14ac:dyDescent="0.2">
      <c r="B95" s="233" t="s">
        <v>234</v>
      </c>
      <c r="C95" s="234" t="s">
        <v>235</v>
      </c>
      <c r="D95" s="226" t="s">
        <v>132</v>
      </c>
      <c r="E95" s="224">
        <f>E22*1.7*0.2*90%</f>
        <v>155.142</v>
      </c>
      <c r="F95" s="235"/>
      <c r="G95" s="225">
        <f t="shared" si="6"/>
        <v>0</v>
      </c>
    </row>
    <row r="96" spans="2:10" ht="127.5" x14ac:dyDescent="0.2">
      <c r="B96" s="233" t="s">
        <v>236</v>
      </c>
      <c r="C96" s="234" t="s">
        <v>237</v>
      </c>
      <c r="D96" s="226" t="s">
        <v>132</v>
      </c>
      <c r="E96" s="224">
        <f>E22*1.7*0.4*10%</f>
        <v>34.475999999999999</v>
      </c>
      <c r="F96" s="235"/>
      <c r="G96" s="225">
        <f t="shared" si="6"/>
        <v>0</v>
      </c>
    </row>
    <row r="97" spans="2:9" ht="76.5" x14ac:dyDescent="0.2">
      <c r="B97" s="233" t="s">
        <v>238</v>
      </c>
      <c r="C97" s="234" t="s">
        <v>239</v>
      </c>
      <c r="D97" s="226" t="s">
        <v>132</v>
      </c>
      <c r="E97" s="224">
        <v>87.85</v>
      </c>
      <c r="F97" s="235"/>
      <c r="G97" s="225">
        <f t="shared" si="6"/>
        <v>0</v>
      </c>
    </row>
    <row r="98" spans="2:9" ht="63.75" x14ac:dyDescent="0.2">
      <c r="B98" s="233" t="s">
        <v>240</v>
      </c>
      <c r="C98" s="234" t="s">
        <v>241</v>
      </c>
      <c r="D98" s="226" t="s">
        <v>132</v>
      </c>
      <c r="E98" s="224">
        <v>282.2</v>
      </c>
      <c r="F98" s="235"/>
      <c r="G98" s="225">
        <f t="shared" si="6"/>
        <v>0</v>
      </c>
    </row>
    <row r="99" spans="2:9" ht="51" x14ac:dyDescent="0.2">
      <c r="B99" s="233" t="s">
        <v>242</v>
      </c>
      <c r="C99" s="234" t="s">
        <v>243</v>
      </c>
      <c r="D99" s="226" t="s">
        <v>136</v>
      </c>
      <c r="E99" s="224">
        <f>4*E22</f>
        <v>2028</v>
      </c>
      <c r="F99" s="235"/>
      <c r="G99" s="225">
        <f t="shared" si="6"/>
        <v>0</v>
      </c>
    </row>
    <row r="100" spans="2:9" ht="63.75" x14ac:dyDescent="0.2">
      <c r="B100" s="233" t="s">
        <v>244</v>
      </c>
      <c r="C100" s="234" t="s">
        <v>245</v>
      </c>
      <c r="D100" s="226" t="s">
        <v>132</v>
      </c>
      <c r="E100" s="224">
        <f>((E87+E88+E89)-E97-E98-E53-E55-0.05*E109-0.07*E110-0.01*E111)*0.8</f>
        <v>755.33600000000001</v>
      </c>
      <c r="F100" s="235"/>
      <c r="G100" s="225">
        <f t="shared" si="6"/>
        <v>0</v>
      </c>
    </row>
    <row r="101" spans="2:9" ht="63.75" x14ac:dyDescent="0.2">
      <c r="B101" s="233" t="s">
        <v>246</v>
      </c>
      <c r="C101" s="234" t="s">
        <v>247</v>
      </c>
      <c r="D101" s="226" t="s">
        <v>132</v>
      </c>
      <c r="E101" s="315">
        <f>((E87+E88+E89)-E97-E98-E53-E55-0.05*E109-0.07*E110-0.01*E111)*0.2</f>
        <v>188.834</v>
      </c>
      <c r="F101" s="235"/>
      <c r="G101" s="225">
        <f t="shared" si="6"/>
        <v>0</v>
      </c>
    </row>
    <row r="102" spans="2:9" x14ac:dyDescent="0.2">
      <c r="B102" s="233" t="s">
        <v>248</v>
      </c>
      <c r="C102" s="234" t="s">
        <v>249</v>
      </c>
      <c r="D102" s="226"/>
      <c r="E102" s="315"/>
      <c r="F102" s="235"/>
      <c r="G102" s="225"/>
    </row>
    <row r="103" spans="2:9" ht="25.5" x14ac:dyDescent="0.2">
      <c r="B103" s="233" t="s">
        <v>250</v>
      </c>
      <c r="C103" s="234" t="s">
        <v>251</v>
      </c>
      <c r="D103" s="226" t="s">
        <v>132</v>
      </c>
      <c r="E103" s="315">
        <f>+(E87+E88+E89+E90)-E101</f>
        <v>2039.8239999999998</v>
      </c>
      <c r="F103" s="235"/>
      <c r="G103" s="225">
        <f>+ROUND((E103*F103),2)</f>
        <v>0</v>
      </c>
      <c r="I103" s="273">
        <f>E103+E104</f>
        <v>2228.6579999999999</v>
      </c>
    </row>
    <row r="104" spans="2:9" ht="25.5" x14ac:dyDescent="0.2">
      <c r="B104" s="233" t="s">
        <v>252</v>
      </c>
      <c r="C104" s="234" t="s">
        <v>253</v>
      </c>
      <c r="D104" s="226" t="s">
        <v>132</v>
      </c>
      <c r="E104" s="315">
        <f>+E101</f>
        <v>188.834</v>
      </c>
      <c r="F104" s="235"/>
      <c r="G104" s="225">
        <f>+ROUND((E104*F104),2)</f>
        <v>0</v>
      </c>
    </row>
    <row r="105" spans="2:9" ht="38.25" x14ac:dyDescent="0.2">
      <c r="B105" s="233" t="s">
        <v>254</v>
      </c>
      <c r="C105" s="234" t="s">
        <v>126</v>
      </c>
      <c r="D105" s="226"/>
      <c r="E105" s="315"/>
      <c r="F105" s="235"/>
      <c r="G105" s="225">
        <f>+ROUND((SUM(G85:G104)*0.1),-1)</f>
        <v>0</v>
      </c>
    </row>
    <row r="106" spans="2:9" x14ac:dyDescent="0.2">
      <c r="B106" s="233"/>
      <c r="C106" s="283" t="s">
        <v>255</v>
      </c>
      <c r="D106" s="226"/>
      <c r="E106" s="315"/>
      <c r="F106" s="235"/>
      <c r="G106" s="310">
        <f>SUM(G85:G105)</f>
        <v>0</v>
      </c>
    </row>
    <row r="107" spans="2:9" x14ac:dyDescent="0.2">
      <c r="B107" s="301" t="s">
        <v>79</v>
      </c>
      <c r="C107" s="283" t="s">
        <v>80</v>
      </c>
      <c r="D107" s="226"/>
      <c r="E107" s="224"/>
      <c r="F107" s="235"/>
      <c r="G107" s="225"/>
    </row>
    <row r="108" spans="2:9" x14ac:dyDescent="0.2">
      <c r="B108" s="233" t="s">
        <v>256</v>
      </c>
      <c r="C108" s="234" t="s">
        <v>257</v>
      </c>
      <c r="D108" s="226"/>
      <c r="E108" s="224"/>
      <c r="F108" s="235"/>
      <c r="G108" s="225"/>
    </row>
    <row r="109" spans="2:9" ht="165.75" x14ac:dyDescent="0.2">
      <c r="B109" s="233" t="s">
        <v>258</v>
      </c>
      <c r="C109" s="234" t="s">
        <v>259</v>
      </c>
      <c r="D109" s="226" t="s">
        <v>57</v>
      </c>
      <c r="E109" s="224">
        <v>408</v>
      </c>
      <c r="F109" s="235"/>
      <c r="G109" s="225">
        <f>+ROUND((E109*F109),2)</f>
        <v>0</v>
      </c>
    </row>
    <row r="110" spans="2:9" ht="165.75" x14ac:dyDescent="0.2">
      <c r="B110" s="233" t="s">
        <v>260</v>
      </c>
      <c r="C110" s="234" t="s">
        <v>261</v>
      </c>
      <c r="D110" s="226" t="s">
        <v>57</v>
      </c>
      <c r="E110" s="224">
        <v>13</v>
      </c>
      <c r="F110" s="235"/>
      <c r="G110" s="225">
        <f>+ROUND((E110*F110),2)</f>
        <v>0</v>
      </c>
    </row>
    <row r="111" spans="2:9" ht="51" x14ac:dyDescent="0.2">
      <c r="B111" s="233" t="s">
        <v>262</v>
      </c>
      <c r="C111" s="234" t="s">
        <v>263</v>
      </c>
      <c r="D111" s="226" t="s">
        <v>57</v>
      </c>
      <c r="E111" s="224">
        <v>86</v>
      </c>
      <c r="F111" s="235"/>
      <c r="G111" s="225">
        <f>+ROUND((E111*F111),2)</f>
        <v>0</v>
      </c>
    </row>
    <row r="112" spans="2:9" x14ac:dyDescent="0.2">
      <c r="B112" s="233" t="s">
        <v>264</v>
      </c>
      <c r="C112" s="234" t="s">
        <v>265</v>
      </c>
      <c r="D112" s="226"/>
      <c r="E112" s="224"/>
      <c r="F112" s="235"/>
      <c r="G112" s="225"/>
    </row>
    <row r="113" spans="2:7" ht="102" x14ac:dyDescent="0.2">
      <c r="B113" s="233" t="s">
        <v>266</v>
      </c>
      <c r="C113" s="234" t="s">
        <v>267</v>
      </c>
      <c r="D113" s="226" t="s">
        <v>64</v>
      </c>
      <c r="E113" s="224">
        <v>1</v>
      </c>
      <c r="F113" s="235"/>
      <c r="G113" s="225">
        <f>+ROUND((E113*F113),2)</f>
        <v>0</v>
      </c>
    </row>
    <row r="114" spans="2:7" ht="102" x14ac:dyDescent="0.2">
      <c r="B114" s="233" t="s">
        <v>268</v>
      </c>
      <c r="C114" s="234" t="s">
        <v>269</v>
      </c>
      <c r="D114" s="226" t="s">
        <v>64</v>
      </c>
      <c r="E114" s="224">
        <v>10</v>
      </c>
      <c r="F114" s="235"/>
      <c r="G114" s="225">
        <f>+ROUND((E114*F114),2)</f>
        <v>0</v>
      </c>
    </row>
    <row r="115" spans="2:7" ht="102" x14ac:dyDescent="0.2">
      <c r="B115" s="233" t="s">
        <v>270</v>
      </c>
      <c r="C115" s="234" t="s">
        <v>271</v>
      </c>
      <c r="D115" s="226" t="s">
        <v>64</v>
      </c>
      <c r="E115" s="224">
        <v>3</v>
      </c>
      <c r="F115" s="235"/>
      <c r="G115" s="225">
        <f>+ROUND((E115*F115),2)</f>
        <v>0</v>
      </c>
    </row>
    <row r="116" spans="2:7" ht="102" x14ac:dyDescent="0.2">
      <c r="B116" s="233" t="s">
        <v>272</v>
      </c>
      <c r="C116" s="234" t="s">
        <v>273</v>
      </c>
      <c r="D116" s="226" t="s">
        <v>64</v>
      </c>
      <c r="E116" s="224">
        <v>2</v>
      </c>
      <c r="F116" s="235"/>
      <c r="G116" s="225">
        <f>+ROUND((E116*F116),2)</f>
        <v>0</v>
      </c>
    </row>
    <row r="117" spans="2:7" ht="89.25" x14ac:dyDescent="0.2">
      <c r="B117" s="233" t="s">
        <v>274</v>
      </c>
      <c r="C117" s="234" t="s">
        <v>275</v>
      </c>
      <c r="D117" s="226" t="s">
        <v>64</v>
      </c>
      <c r="E117" s="224">
        <f>+E113+E114+E115+E116</f>
        <v>16</v>
      </c>
      <c r="F117" s="235"/>
      <c r="G117" s="225">
        <f>+ROUND((E117*F117),2)</f>
        <v>0</v>
      </c>
    </row>
    <row r="118" spans="2:7" ht="25.5" x14ac:dyDescent="0.2">
      <c r="B118" s="233" t="s">
        <v>276</v>
      </c>
      <c r="C118" s="234" t="s">
        <v>277</v>
      </c>
      <c r="D118" s="226" t="s">
        <v>64</v>
      </c>
      <c r="E118" s="224">
        <v>5</v>
      </c>
      <c r="F118" s="235"/>
      <c r="G118" s="225">
        <f>+E118*F118</f>
        <v>0</v>
      </c>
    </row>
    <row r="119" spans="2:7" x14ac:dyDescent="0.2">
      <c r="B119" s="233" t="s">
        <v>278</v>
      </c>
      <c r="C119" s="234" t="s">
        <v>279</v>
      </c>
      <c r="D119" s="226"/>
      <c r="E119" s="224"/>
      <c r="F119" s="235"/>
      <c r="G119" s="225"/>
    </row>
    <row r="120" spans="2:7" ht="51" x14ac:dyDescent="0.2">
      <c r="B120" s="233" t="s">
        <v>280</v>
      </c>
      <c r="C120" s="234" t="s">
        <v>281</v>
      </c>
      <c r="D120" s="226" t="s">
        <v>64</v>
      </c>
      <c r="E120" s="224">
        <v>7</v>
      </c>
      <c r="F120" s="235"/>
      <c r="G120" s="225">
        <f>+ROUND((E120*F120),2)</f>
        <v>0</v>
      </c>
    </row>
    <row r="121" spans="2:7" ht="51" x14ac:dyDescent="0.2">
      <c r="B121" s="233" t="s">
        <v>282</v>
      </c>
      <c r="C121" s="234" t="s">
        <v>283</v>
      </c>
      <c r="D121" s="226" t="s">
        <v>64</v>
      </c>
      <c r="E121" s="224">
        <v>1</v>
      </c>
      <c r="F121" s="235"/>
      <c r="G121" s="225">
        <f>+ROUND((E121*F121),2)</f>
        <v>0</v>
      </c>
    </row>
    <row r="122" spans="2:7" ht="25.5" x14ac:dyDescent="0.2">
      <c r="B122" s="233" t="s">
        <v>284</v>
      </c>
      <c r="C122" s="234" t="s">
        <v>285</v>
      </c>
      <c r="D122" s="226" t="s">
        <v>95</v>
      </c>
      <c r="E122" s="224">
        <v>3</v>
      </c>
      <c r="F122" s="235"/>
      <c r="G122" s="225">
        <f>+E122*F122</f>
        <v>0</v>
      </c>
    </row>
    <row r="123" spans="2:7" ht="25.5" x14ac:dyDescent="0.2">
      <c r="B123" s="233" t="s">
        <v>286</v>
      </c>
      <c r="C123" s="234" t="s">
        <v>287</v>
      </c>
      <c r="D123" s="226" t="s">
        <v>57</v>
      </c>
      <c r="E123" s="224">
        <v>5</v>
      </c>
      <c r="F123" s="235"/>
      <c r="G123" s="225">
        <f>+ROUND((E123*F123),2)</f>
        <v>0</v>
      </c>
    </row>
    <row r="124" spans="2:7" x14ac:dyDescent="0.2">
      <c r="B124" s="233" t="s">
        <v>288</v>
      </c>
      <c r="C124" s="234" t="s">
        <v>289</v>
      </c>
      <c r="D124" s="226"/>
      <c r="E124" s="224"/>
      <c r="F124" s="235"/>
      <c r="G124" s="225"/>
    </row>
    <row r="125" spans="2:7" x14ac:dyDescent="0.2">
      <c r="B125" s="233" t="s">
        <v>290</v>
      </c>
      <c r="C125" s="234" t="s">
        <v>291</v>
      </c>
      <c r="D125" s="226" t="s">
        <v>57</v>
      </c>
      <c r="E125" s="224">
        <f>E22</f>
        <v>507</v>
      </c>
      <c r="F125" s="235"/>
      <c r="G125" s="225">
        <f>+ROUND((E125*F125),2)</f>
        <v>0</v>
      </c>
    </row>
    <row r="126" spans="2:7" ht="38.25" x14ac:dyDescent="0.2">
      <c r="B126" s="233" t="s">
        <v>292</v>
      </c>
      <c r="C126" s="234" t="s">
        <v>293</v>
      </c>
      <c r="D126" s="226" t="s">
        <v>57</v>
      </c>
      <c r="E126" s="224">
        <f>+E125</f>
        <v>507</v>
      </c>
      <c r="F126" s="235"/>
      <c r="G126" s="225">
        <f>+ROUND((E126*F126),2)</f>
        <v>0</v>
      </c>
    </row>
    <row r="127" spans="2:7" ht="51" x14ac:dyDescent="0.2">
      <c r="B127" s="233" t="s">
        <v>294</v>
      </c>
      <c r="C127" s="234" t="s">
        <v>295</v>
      </c>
      <c r="D127" s="226" t="s">
        <v>57</v>
      </c>
      <c r="E127" s="224">
        <f>+E126</f>
        <v>507</v>
      </c>
      <c r="F127" s="235"/>
      <c r="G127" s="225">
        <f>+ROUND((E127*F127),2)</f>
        <v>0</v>
      </c>
    </row>
    <row r="128" spans="2:7" x14ac:dyDescent="0.2">
      <c r="B128" s="233" t="s">
        <v>296</v>
      </c>
      <c r="C128" s="234" t="s">
        <v>297</v>
      </c>
      <c r="D128" s="226"/>
      <c r="E128" s="224"/>
      <c r="F128" s="235"/>
      <c r="G128" s="225"/>
    </row>
    <row r="129" spans="2:7" ht="25.5" x14ac:dyDescent="0.2">
      <c r="B129" s="233" t="s">
        <v>298</v>
      </c>
      <c r="C129" s="234" t="s">
        <v>299</v>
      </c>
      <c r="D129" s="226" t="s">
        <v>64</v>
      </c>
      <c r="E129" s="224">
        <v>8</v>
      </c>
      <c r="F129" s="235"/>
      <c r="G129" s="225">
        <f t="shared" ref="G129:G138" si="7">+ROUND((E129*F129),2)</f>
        <v>0</v>
      </c>
    </row>
    <row r="130" spans="2:7" ht="25.5" x14ac:dyDescent="0.2">
      <c r="B130" s="233" t="s">
        <v>300</v>
      </c>
      <c r="C130" s="234" t="s">
        <v>301</v>
      </c>
      <c r="D130" s="226" t="s">
        <v>64</v>
      </c>
      <c r="E130" s="224">
        <v>2</v>
      </c>
      <c r="F130" s="235"/>
      <c r="G130" s="225">
        <f t="shared" si="7"/>
        <v>0</v>
      </c>
    </row>
    <row r="131" spans="2:7" ht="38.25" x14ac:dyDescent="0.2">
      <c r="B131" s="233" t="s">
        <v>302</v>
      </c>
      <c r="C131" s="234" t="s">
        <v>303</v>
      </c>
      <c r="D131" s="226" t="s">
        <v>64</v>
      </c>
      <c r="E131" s="224">
        <v>7</v>
      </c>
      <c r="F131" s="235"/>
      <c r="G131" s="225">
        <f t="shared" si="7"/>
        <v>0</v>
      </c>
    </row>
    <row r="132" spans="2:7" ht="25.5" x14ac:dyDescent="0.2">
      <c r="B132" s="233" t="s">
        <v>304</v>
      </c>
      <c r="C132" s="234" t="s">
        <v>305</v>
      </c>
      <c r="D132" s="226" t="s">
        <v>64</v>
      </c>
      <c r="E132" s="224">
        <v>5</v>
      </c>
      <c r="F132" s="235"/>
      <c r="G132" s="225">
        <f t="shared" si="7"/>
        <v>0</v>
      </c>
    </row>
    <row r="133" spans="2:7" ht="38.25" x14ac:dyDescent="0.2">
      <c r="B133" s="233" t="s">
        <v>306</v>
      </c>
      <c r="C133" s="234" t="s">
        <v>307</v>
      </c>
      <c r="D133" s="226" t="s">
        <v>64</v>
      </c>
      <c r="E133" s="224">
        <v>3</v>
      </c>
      <c r="F133" s="235"/>
      <c r="G133" s="225">
        <f t="shared" si="7"/>
        <v>0</v>
      </c>
    </row>
    <row r="134" spans="2:7" ht="38.25" x14ac:dyDescent="0.2">
      <c r="B134" s="233" t="s">
        <v>308</v>
      </c>
      <c r="C134" s="234" t="s">
        <v>309</v>
      </c>
      <c r="D134" s="226" t="s">
        <v>64</v>
      </c>
      <c r="E134" s="224">
        <v>4</v>
      </c>
      <c r="F134" s="235"/>
      <c r="G134" s="225">
        <f t="shared" si="7"/>
        <v>0</v>
      </c>
    </row>
    <row r="135" spans="2:7" ht="89.25" x14ac:dyDescent="0.2">
      <c r="B135" s="233" t="s">
        <v>310</v>
      </c>
      <c r="C135" s="234" t="s">
        <v>311</v>
      </c>
      <c r="D135" s="226" t="s">
        <v>57</v>
      </c>
      <c r="E135" s="224">
        <v>25</v>
      </c>
      <c r="F135" s="235"/>
      <c r="G135" s="225">
        <f t="shared" si="7"/>
        <v>0</v>
      </c>
    </row>
    <row r="136" spans="2:7" ht="89.25" x14ac:dyDescent="0.2">
      <c r="B136" s="233" t="s">
        <v>312</v>
      </c>
      <c r="C136" s="234" t="s">
        <v>313</v>
      </c>
      <c r="D136" s="226" t="s">
        <v>57</v>
      </c>
      <c r="E136" s="224">
        <v>10</v>
      </c>
      <c r="F136" s="235"/>
      <c r="G136" s="225">
        <f t="shared" si="7"/>
        <v>0</v>
      </c>
    </row>
    <row r="137" spans="2:7" ht="89.25" x14ac:dyDescent="0.2">
      <c r="B137" s="233" t="s">
        <v>314</v>
      </c>
      <c r="C137" s="234" t="s">
        <v>315</v>
      </c>
      <c r="D137" s="226" t="s">
        <v>57</v>
      </c>
      <c r="E137" s="224">
        <v>50</v>
      </c>
      <c r="F137" s="235"/>
      <c r="G137" s="225">
        <f t="shared" si="7"/>
        <v>0</v>
      </c>
    </row>
    <row r="138" spans="2:7" ht="76.5" x14ac:dyDescent="0.2">
      <c r="B138" s="233" t="s">
        <v>316</v>
      </c>
      <c r="C138" s="234" t="s">
        <v>317</v>
      </c>
      <c r="D138" s="226" t="s">
        <v>57</v>
      </c>
      <c r="E138" s="224">
        <v>15</v>
      </c>
      <c r="F138" s="235"/>
      <c r="G138" s="225">
        <f t="shared" si="7"/>
        <v>0</v>
      </c>
    </row>
    <row r="139" spans="2:7" ht="38.25" x14ac:dyDescent="0.2">
      <c r="B139" s="233" t="s">
        <v>318</v>
      </c>
      <c r="C139" s="234" t="s">
        <v>126</v>
      </c>
      <c r="D139" s="226"/>
      <c r="E139" s="224"/>
      <c r="F139" s="235"/>
      <c r="G139" s="225">
        <f>+ROUND((SUM(G109:G138)*0.1),-1)</f>
        <v>0</v>
      </c>
    </row>
    <row r="140" spans="2:7" x14ac:dyDescent="0.2">
      <c r="B140" s="233"/>
      <c r="C140" s="283" t="s">
        <v>319</v>
      </c>
      <c r="D140" s="226"/>
      <c r="E140" s="224"/>
      <c r="F140" s="235"/>
      <c r="G140" s="310">
        <f>SUM(G109:G139)</f>
        <v>0</v>
      </c>
    </row>
    <row r="141" spans="2:7" x14ac:dyDescent="0.2">
      <c r="B141" s="301" t="s">
        <v>81</v>
      </c>
      <c r="C141" s="283" t="s">
        <v>320</v>
      </c>
      <c r="D141" s="226"/>
      <c r="E141" s="224"/>
      <c r="F141" s="235"/>
      <c r="G141" s="225"/>
    </row>
    <row r="142" spans="2:7" ht="324" customHeight="1" x14ac:dyDescent="0.2">
      <c r="B142" s="233" t="s">
        <v>321</v>
      </c>
      <c r="C142" s="234" t="s">
        <v>322</v>
      </c>
      <c r="D142" s="226" t="s">
        <v>57</v>
      </c>
      <c r="E142" s="224">
        <v>99</v>
      </c>
      <c r="F142" s="235"/>
      <c r="G142" s="225">
        <f>+ROUND((E142*F142),2)</f>
        <v>0</v>
      </c>
    </row>
    <row r="143" spans="2:7" ht="109.5" customHeight="1" x14ac:dyDescent="0.2">
      <c r="B143" s="233" t="s">
        <v>323</v>
      </c>
      <c r="C143" s="234" t="s">
        <v>324</v>
      </c>
      <c r="D143" s="226" t="s">
        <v>64</v>
      </c>
      <c r="E143" s="224">
        <v>8</v>
      </c>
      <c r="F143" s="235"/>
      <c r="G143" s="225">
        <f>+ROUND((E143*F143),2)</f>
        <v>0</v>
      </c>
    </row>
    <row r="144" spans="2:7" ht="109.5" customHeight="1" x14ac:dyDescent="0.2">
      <c r="B144" s="233" t="s">
        <v>325</v>
      </c>
      <c r="C144" s="234" t="s">
        <v>326</v>
      </c>
      <c r="D144" s="226" t="s">
        <v>64</v>
      </c>
      <c r="E144" s="224">
        <v>3</v>
      </c>
      <c r="F144" s="235"/>
      <c r="G144" s="225">
        <f>+ROUND((E144*F144),2)</f>
        <v>0</v>
      </c>
    </row>
    <row r="145" spans="2:7" ht="38.25" x14ac:dyDescent="0.2">
      <c r="B145" s="233" t="s">
        <v>327</v>
      </c>
      <c r="C145" s="234" t="s">
        <v>126</v>
      </c>
      <c r="D145" s="226"/>
      <c r="E145" s="224"/>
      <c r="F145" s="235"/>
      <c r="G145" s="225">
        <f>+ROUND((SUM(G142:G144)*0.1),-1)</f>
        <v>0</v>
      </c>
    </row>
    <row r="146" spans="2:7" x14ac:dyDescent="0.2">
      <c r="B146" s="233"/>
      <c r="C146" s="283" t="s">
        <v>328</v>
      </c>
      <c r="D146" s="226"/>
      <c r="E146" s="224"/>
      <c r="F146" s="235"/>
      <c r="G146" s="310">
        <f>SUM(G142:G145)</f>
        <v>0</v>
      </c>
    </row>
    <row r="147" spans="2:7" x14ac:dyDescent="0.2">
      <c r="C147" s="316"/>
      <c r="E147" s="272"/>
      <c r="F147" s="318"/>
      <c r="G147" s="273"/>
    </row>
    <row r="148" spans="2:7" x14ac:dyDescent="0.2">
      <c r="C148" s="316"/>
      <c r="E148" s="272"/>
      <c r="F148" s="318"/>
      <c r="G148" s="273"/>
    </row>
    <row r="149" spans="2:7" x14ac:dyDescent="0.2">
      <c r="C149" s="316"/>
      <c r="E149" s="272"/>
      <c r="F149" s="318"/>
      <c r="G149" s="273"/>
    </row>
    <row r="150" spans="2:7" x14ac:dyDescent="0.2">
      <c r="C150" s="316"/>
      <c r="D150" s="271"/>
      <c r="E150" s="319"/>
      <c r="F150" s="318"/>
      <c r="G150" s="273"/>
    </row>
    <row r="151" spans="2:7" x14ac:dyDescent="0.2">
      <c r="C151" s="316"/>
      <c r="E151" s="272"/>
      <c r="F151" s="318"/>
      <c r="G151" s="273"/>
    </row>
    <row r="152" spans="2:7" x14ac:dyDescent="0.2">
      <c r="C152" s="316"/>
      <c r="E152" s="272"/>
      <c r="F152" s="318"/>
      <c r="G152" s="273"/>
    </row>
    <row r="153" spans="2:7" x14ac:dyDescent="0.2">
      <c r="C153" s="272"/>
      <c r="D153" s="271"/>
      <c r="E153" s="272"/>
      <c r="F153" s="318"/>
      <c r="G153" s="273"/>
    </row>
    <row r="154" spans="2:7" x14ac:dyDescent="0.2">
      <c r="C154" s="273"/>
      <c r="E154" s="272"/>
      <c r="F154" s="318"/>
      <c r="G154" s="273"/>
    </row>
    <row r="155" spans="2:7" x14ac:dyDescent="0.2">
      <c r="D155" s="271"/>
      <c r="E155" s="272"/>
      <c r="F155" s="318"/>
      <c r="G155" s="273"/>
    </row>
    <row r="156" spans="2:7" x14ac:dyDescent="0.2">
      <c r="C156" s="316"/>
      <c r="E156" s="272"/>
      <c r="F156" s="318"/>
      <c r="G156" s="273"/>
    </row>
    <row r="157" spans="2:7" x14ac:dyDescent="0.2">
      <c r="C157" s="273"/>
      <c r="E157" s="272"/>
      <c r="F157" s="318"/>
      <c r="G157" s="273"/>
    </row>
    <row r="158" spans="2:7" x14ac:dyDescent="0.2">
      <c r="C158" s="316"/>
      <c r="E158" s="272"/>
      <c r="F158" s="318"/>
      <c r="G158" s="273"/>
    </row>
    <row r="159" spans="2:7" x14ac:dyDescent="0.2">
      <c r="C159" s="316"/>
      <c r="E159" s="272"/>
      <c r="F159" s="318"/>
      <c r="G159" s="273"/>
    </row>
    <row r="160" spans="2:7" x14ac:dyDescent="0.2">
      <c r="C160" s="273"/>
      <c r="D160" s="271"/>
      <c r="E160" s="272"/>
      <c r="F160" s="318"/>
      <c r="G160" s="273"/>
    </row>
    <row r="161" spans="3:7" x14ac:dyDescent="0.2">
      <c r="C161" s="316"/>
      <c r="E161" s="272"/>
      <c r="F161" s="318"/>
      <c r="G161" s="273"/>
    </row>
    <row r="163" spans="3:7" s="264" customFormat="1" x14ac:dyDescent="0.2"/>
    <row r="164" spans="3:7" x14ac:dyDescent="0.2">
      <c r="C164" s="316"/>
      <c r="E164" s="272"/>
      <c r="F164" s="318"/>
      <c r="G164" s="273"/>
    </row>
    <row r="165" spans="3:7" s="264" customFormat="1" x14ac:dyDescent="0.2"/>
    <row r="166" spans="3:7" s="264" customFormat="1" x14ac:dyDescent="0.2"/>
    <row r="167" spans="3:7" s="264" customFormat="1" x14ac:dyDescent="0.2"/>
    <row r="168" spans="3:7" s="264" customFormat="1" x14ac:dyDescent="0.2"/>
    <row r="169" spans="3:7" x14ac:dyDescent="0.2">
      <c r="D169" s="271"/>
      <c r="E169" s="272"/>
      <c r="F169" s="318"/>
      <c r="G169" s="273"/>
    </row>
  </sheetData>
  <sheetProtection algorithmName="SHA-512" hashValue="ve7ArElHLu20nmfKGpw8d9/ZE4KUOGuu+8jPZ94gkcbG9fAh0ffcjyxJCG2YBzLfTPtVzGHpxkpDSrI3tAY0LA==" saltValue="WDJkVq6+NBktMdkEEvapkQ==" spinCount="100000" sheet="1" objects="1" scenarios="1"/>
  <mergeCells count="5">
    <mergeCell ref="B13:G13"/>
    <mergeCell ref="B14:G14"/>
    <mergeCell ref="B15:G15"/>
    <mergeCell ref="B16:G16"/>
    <mergeCell ref="B17:G17"/>
  </mergeCells>
  <conditionalFormatting sqref="F29 F31">
    <cfRule type="cellIs" dxfId="16" priority="2" operator="equal">
      <formula>0</formula>
    </cfRule>
  </conditionalFormatting>
  <conditionalFormatting sqref="F35:F37">
    <cfRule type="cellIs" dxfId="15" priority="3" operator="equal">
      <formula>0</formula>
    </cfRule>
  </conditionalFormatting>
  <conditionalFormatting sqref="F30">
    <cfRule type="cellIs" dxfId="14" priority="4" operator="equal">
      <formula>0</formula>
    </cfRule>
  </conditionalFormatting>
  <pageMargins left="0.98425196850393704" right="0.39370078740157483" top="0.78740157480314965" bottom="0.78740157480314965" header="0.51181102362204722" footer="0"/>
  <pageSetup paperSize="9" scale="91" firstPageNumber="0" orientation="portrait" horizontalDpi="300" verticalDpi="300" r:id="rId1"/>
  <headerFooter>
    <oddFooter>&amp;L&amp;A&amp;R&amp;9Stran &amp;P/&amp;N</oddFooter>
  </headerFooter>
  <rowBreaks count="1" manualBreakCount="1">
    <brk id="15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DEADA"/>
  </sheetPr>
  <dimension ref="A1:AMJ170"/>
  <sheetViews>
    <sheetView view="pageBreakPreview" topLeftCell="B1" zoomScale="120" zoomScaleNormal="100" zoomScalePageLayoutView="120" workbookViewId="0">
      <selection activeCell="F22" sqref="F22:F146"/>
    </sheetView>
  </sheetViews>
  <sheetFormatPr defaultColWidth="9.33203125" defaultRowHeight="12.75" x14ac:dyDescent="0.2"/>
  <cols>
    <col min="1" max="1" width="1.83203125" style="264" hidden="1" customWidth="1"/>
    <col min="2" max="2" width="7.1640625" style="269" customWidth="1"/>
    <col min="3" max="3" width="57.33203125" style="264" customWidth="1"/>
    <col min="4" max="4" width="6.6640625" style="317" customWidth="1"/>
    <col min="5" max="5" width="9.83203125" style="320" bestFit="1" customWidth="1"/>
    <col min="6" max="6" width="10.5" style="264" customWidth="1"/>
    <col min="7" max="7" width="16.5" style="264" customWidth="1"/>
    <col min="8" max="8" width="6.6640625" style="264" hidden="1" customWidth="1"/>
    <col min="9" max="9" width="18.5" style="264" hidden="1" customWidth="1"/>
    <col min="10" max="10" width="0" style="264" hidden="1" customWidth="1"/>
    <col min="11" max="1024" width="9.33203125" style="264"/>
    <col min="1025" max="16384" width="9.33203125" style="268"/>
  </cols>
  <sheetData>
    <row r="1" spans="2:10" x14ac:dyDescent="0.2">
      <c r="B1" s="265" t="s">
        <v>20</v>
      </c>
      <c r="C1" s="266" t="s">
        <v>329</v>
      </c>
      <c r="D1" s="267"/>
      <c r="E1" s="267"/>
      <c r="F1" s="267"/>
      <c r="G1" s="267"/>
    </row>
    <row r="2" spans="2:10" x14ac:dyDescent="0.2">
      <c r="B2" s="265"/>
      <c r="C2" s="266" t="s">
        <v>22</v>
      </c>
      <c r="D2" s="267"/>
      <c r="E2" s="267"/>
      <c r="F2" s="267"/>
      <c r="G2" s="267"/>
    </row>
    <row r="3" spans="2:10" x14ac:dyDescent="0.2">
      <c r="C3" s="270"/>
      <c r="D3" s="271"/>
      <c r="E3" s="272"/>
      <c r="F3" s="273"/>
    </row>
    <row r="4" spans="2:10" x14ac:dyDescent="0.2">
      <c r="B4" s="233" t="s">
        <v>71</v>
      </c>
      <c r="C4" s="274" t="s">
        <v>72</v>
      </c>
      <c r="D4" s="226"/>
      <c r="E4" s="275"/>
      <c r="F4" s="274"/>
      <c r="G4" s="276">
        <f>+G39</f>
        <v>0</v>
      </c>
      <c r="I4" s="277">
        <f t="shared" ref="I4:I9" si="0">+G4/E$22</f>
        <v>0</v>
      </c>
      <c r="J4" s="278" t="e">
        <f>+G4/G$10</f>
        <v>#DIV/0!</v>
      </c>
    </row>
    <row r="5" spans="2:10" x14ac:dyDescent="0.2">
      <c r="B5" s="233" t="s">
        <v>73</v>
      </c>
      <c r="C5" s="274" t="s">
        <v>74</v>
      </c>
      <c r="D5" s="279"/>
      <c r="E5" s="275"/>
      <c r="F5" s="274"/>
      <c r="G5" s="276">
        <f>G73</f>
        <v>0</v>
      </c>
      <c r="I5" s="277">
        <f t="shared" si="0"/>
        <v>0</v>
      </c>
      <c r="J5" s="278" t="e">
        <f t="shared" ref="J5:J9" si="1">+G5/G$10</f>
        <v>#DIV/0!</v>
      </c>
    </row>
    <row r="6" spans="2:10" x14ac:dyDescent="0.2">
      <c r="B6" s="233" t="s">
        <v>75</v>
      </c>
      <c r="C6" s="274" t="s">
        <v>76</v>
      </c>
      <c r="D6" s="226"/>
      <c r="E6" s="275"/>
      <c r="F6" s="274"/>
      <c r="G6" s="276">
        <f>+G81</f>
        <v>0</v>
      </c>
      <c r="I6" s="277">
        <f t="shared" si="0"/>
        <v>0</v>
      </c>
      <c r="J6" s="278" t="e">
        <f t="shared" si="1"/>
        <v>#DIV/0!</v>
      </c>
    </row>
    <row r="7" spans="2:10" x14ac:dyDescent="0.2">
      <c r="B7" s="233" t="s">
        <v>77</v>
      </c>
      <c r="C7" s="274" t="s">
        <v>78</v>
      </c>
      <c r="D7" s="226"/>
      <c r="E7" s="275"/>
      <c r="F7" s="274"/>
      <c r="G7" s="276">
        <f>+G106</f>
        <v>0</v>
      </c>
      <c r="I7" s="277">
        <f t="shared" si="0"/>
        <v>0</v>
      </c>
      <c r="J7" s="278" t="e">
        <f t="shared" si="1"/>
        <v>#DIV/0!</v>
      </c>
    </row>
    <row r="8" spans="2:10" x14ac:dyDescent="0.2">
      <c r="B8" s="233" t="s">
        <v>79</v>
      </c>
      <c r="C8" s="274" t="s">
        <v>80</v>
      </c>
      <c r="D8" s="226"/>
      <c r="E8" s="275"/>
      <c r="F8" s="274"/>
      <c r="G8" s="276">
        <f>+G140</f>
        <v>0</v>
      </c>
      <c r="I8" s="277">
        <f t="shared" si="0"/>
        <v>0</v>
      </c>
      <c r="J8" s="278" t="e">
        <f t="shared" si="1"/>
        <v>#DIV/0!</v>
      </c>
    </row>
    <row r="9" spans="2:10" x14ac:dyDescent="0.2">
      <c r="B9" s="233" t="s">
        <v>81</v>
      </c>
      <c r="C9" s="274" t="s">
        <v>82</v>
      </c>
      <c r="D9" s="226"/>
      <c r="E9" s="275"/>
      <c r="F9" s="274"/>
      <c r="G9" s="276">
        <f>+G147</f>
        <v>0</v>
      </c>
      <c r="I9" s="277">
        <f t="shared" si="0"/>
        <v>0</v>
      </c>
      <c r="J9" s="278" t="e">
        <f t="shared" si="1"/>
        <v>#DIV/0!</v>
      </c>
    </row>
    <row r="10" spans="2:10" x14ac:dyDescent="0.2">
      <c r="B10" s="233"/>
      <c r="C10" s="280" t="s">
        <v>31</v>
      </c>
      <c r="D10" s="281"/>
      <c r="E10" s="282"/>
      <c r="F10" s="283"/>
      <c r="G10" s="284">
        <f>SUM(G4:G9)</f>
        <v>0</v>
      </c>
      <c r="I10" s="285">
        <f>+G10/E$22</f>
        <v>0</v>
      </c>
      <c r="J10" s="286" t="e">
        <f>SUM(J4:J9)</f>
        <v>#DIV/0!</v>
      </c>
    </row>
    <row r="11" spans="2:10" x14ac:dyDescent="0.2">
      <c r="C11" s="287"/>
      <c r="D11" s="288"/>
      <c r="E11" s="289"/>
      <c r="F11" s="290"/>
      <c r="G11" s="291"/>
    </row>
    <row r="12" spans="2:10" x14ac:dyDescent="0.2">
      <c r="B12" s="292" t="s">
        <v>83</v>
      </c>
      <c r="C12" s="293"/>
      <c r="D12" s="294"/>
      <c r="E12" s="295"/>
      <c r="F12" s="296"/>
      <c r="G12" s="297"/>
    </row>
    <row r="13" spans="2:10" ht="78" customHeight="1" x14ac:dyDescent="0.2">
      <c r="B13" s="326" t="s">
        <v>84</v>
      </c>
      <c r="C13" s="326"/>
      <c r="D13" s="326"/>
      <c r="E13" s="326"/>
      <c r="F13" s="326"/>
      <c r="G13" s="326"/>
    </row>
    <row r="14" spans="2:10" ht="115.5" customHeight="1" x14ac:dyDescent="0.2">
      <c r="B14" s="326" t="s">
        <v>85</v>
      </c>
      <c r="C14" s="326"/>
      <c r="D14" s="326"/>
      <c r="E14" s="326"/>
      <c r="F14" s="326"/>
      <c r="G14" s="326"/>
    </row>
    <row r="15" spans="2:10" ht="64.5" customHeight="1" x14ac:dyDescent="0.2">
      <c r="B15" s="326" t="s">
        <v>86</v>
      </c>
      <c r="C15" s="326"/>
      <c r="D15" s="326"/>
      <c r="E15" s="326"/>
      <c r="F15" s="326"/>
      <c r="G15" s="326"/>
    </row>
    <row r="16" spans="2:10" ht="115.5" customHeight="1" x14ac:dyDescent="0.2">
      <c r="B16" s="326" t="s">
        <v>87</v>
      </c>
      <c r="C16" s="326"/>
      <c r="D16" s="326"/>
      <c r="E16" s="326"/>
      <c r="F16" s="326"/>
      <c r="G16" s="326"/>
    </row>
    <row r="17" spans="2:7" ht="37.5" customHeight="1" x14ac:dyDescent="0.2">
      <c r="B17" s="326" t="s">
        <v>88</v>
      </c>
      <c r="C17" s="326"/>
      <c r="D17" s="326"/>
      <c r="E17" s="326"/>
      <c r="F17" s="326"/>
      <c r="G17" s="326"/>
    </row>
    <row r="18" spans="2:7" x14ac:dyDescent="0.2">
      <c r="B18" s="298"/>
      <c r="C18" s="298"/>
      <c r="D18" s="298"/>
      <c r="E18" s="298"/>
      <c r="F18" s="298"/>
      <c r="G18" s="298"/>
    </row>
    <row r="19" spans="2:7" ht="25.5" x14ac:dyDescent="0.2">
      <c r="B19" s="299" t="s">
        <v>36</v>
      </c>
      <c r="C19" s="300" t="s">
        <v>37</v>
      </c>
      <c r="D19" s="299" t="s">
        <v>38</v>
      </c>
      <c r="E19" s="299" t="s">
        <v>39</v>
      </c>
      <c r="F19" s="299" t="s">
        <v>40</v>
      </c>
      <c r="G19" s="299" t="s">
        <v>41</v>
      </c>
    </row>
    <row r="20" spans="2:7" x14ac:dyDescent="0.2">
      <c r="B20" s="301" t="s">
        <v>71</v>
      </c>
      <c r="C20" s="283" t="s">
        <v>72</v>
      </c>
      <c r="D20" s="226"/>
      <c r="E20" s="275"/>
      <c r="F20" s="274"/>
      <c r="G20" s="274"/>
    </row>
    <row r="21" spans="2:7" x14ac:dyDescent="0.2">
      <c r="B21" s="233" t="s">
        <v>89</v>
      </c>
      <c r="C21" s="274" t="s">
        <v>90</v>
      </c>
      <c r="D21" s="226"/>
      <c r="E21" s="275"/>
      <c r="F21" s="274"/>
      <c r="G21" s="274"/>
    </row>
    <row r="22" spans="2:7" ht="51" x14ac:dyDescent="0.2">
      <c r="B22" s="233" t="s">
        <v>91</v>
      </c>
      <c r="C22" s="302" t="s">
        <v>92</v>
      </c>
      <c r="D22" s="223" t="s">
        <v>57</v>
      </c>
      <c r="E22" s="224">
        <v>607</v>
      </c>
      <c r="F22" s="235"/>
      <c r="G22" s="225">
        <f t="shared" ref="G22:G27" si="2">+ROUND((E22*F22),2)</f>
        <v>0</v>
      </c>
    </row>
    <row r="23" spans="2:7" ht="38.25" x14ac:dyDescent="0.2">
      <c r="B23" s="233" t="s">
        <v>93</v>
      </c>
      <c r="C23" s="222" t="s">
        <v>94</v>
      </c>
      <c r="D23" s="223" t="s">
        <v>95</v>
      </c>
      <c r="E23" s="224">
        <v>21</v>
      </c>
      <c r="F23" s="235"/>
      <c r="G23" s="225">
        <f t="shared" si="2"/>
        <v>0</v>
      </c>
    </row>
    <row r="24" spans="2:7" ht="25.5" x14ac:dyDescent="0.2">
      <c r="B24" s="233" t="s">
        <v>96</v>
      </c>
      <c r="C24" s="302" t="s">
        <v>97</v>
      </c>
      <c r="D24" s="223" t="s">
        <v>57</v>
      </c>
      <c r="E24" s="224">
        <v>540</v>
      </c>
      <c r="F24" s="235"/>
      <c r="G24" s="225">
        <f t="shared" si="2"/>
        <v>0</v>
      </c>
    </row>
    <row r="25" spans="2:7" ht="25.5" x14ac:dyDescent="0.2">
      <c r="B25" s="233" t="s">
        <v>98</v>
      </c>
      <c r="C25" s="302" t="s">
        <v>99</v>
      </c>
      <c r="D25" s="223" t="s">
        <v>64</v>
      </c>
      <c r="E25" s="303">
        <f>E24/20</f>
        <v>27</v>
      </c>
      <c r="F25" s="235"/>
      <c r="G25" s="225">
        <f t="shared" si="2"/>
        <v>0</v>
      </c>
    </row>
    <row r="26" spans="2:7" ht="63.75" x14ac:dyDescent="0.2">
      <c r="B26" s="233" t="s">
        <v>100</v>
      </c>
      <c r="C26" s="222" t="s">
        <v>101</v>
      </c>
      <c r="D26" s="226" t="s">
        <v>57</v>
      </c>
      <c r="E26" s="224">
        <f>+E22</f>
        <v>607</v>
      </c>
      <c r="F26" s="235"/>
      <c r="G26" s="225">
        <f t="shared" si="2"/>
        <v>0</v>
      </c>
    </row>
    <row r="27" spans="2:7" ht="51" x14ac:dyDescent="0.2">
      <c r="B27" s="233" t="s">
        <v>102</v>
      </c>
      <c r="C27" s="304" t="s">
        <v>103</v>
      </c>
      <c r="D27" s="226" t="s">
        <v>57</v>
      </c>
      <c r="E27" s="224">
        <f>+E22</f>
        <v>607</v>
      </c>
      <c r="F27" s="235"/>
      <c r="G27" s="225">
        <f t="shared" si="2"/>
        <v>0</v>
      </c>
    </row>
    <row r="28" spans="2:7" x14ac:dyDescent="0.2">
      <c r="B28" s="233" t="s">
        <v>104</v>
      </c>
      <c r="C28" s="305" t="s">
        <v>105</v>
      </c>
      <c r="D28" s="226"/>
      <c r="E28" s="224"/>
      <c r="F28" s="235"/>
      <c r="G28" s="225"/>
    </row>
    <row r="29" spans="2:7" ht="38.25" x14ac:dyDescent="0.2">
      <c r="B29" s="233" t="s">
        <v>106</v>
      </c>
      <c r="C29" s="306" t="s">
        <v>107</v>
      </c>
      <c r="D29" s="307" t="s">
        <v>57</v>
      </c>
      <c r="E29" s="308">
        <f>+E22</f>
        <v>607</v>
      </c>
      <c r="F29" s="235"/>
      <c r="G29" s="225">
        <f>E29*F29</f>
        <v>0</v>
      </c>
    </row>
    <row r="30" spans="2:7" ht="89.25" x14ac:dyDescent="0.2">
      <c r="B30" s="233" t="s">
        <v>108</v>
      </c>
      <c r="C30" s="306" t="s">
        <v>109</v>
      </c>
      <c r="D30" s="307" t="s">
        <v>57</v>
      </c>
      <c r="E30" s="308">
        <v>540</v>
      </c>
      <c r="F30" s="235"/>
      <c r="G30" s="225">
        <f>E30*F30</f>
        <v>0</v>
      </c>
    </row>
    <row r="31" spans="2:7" ht="63.75" x14ac:dyDescent="0.2">
      <c r="B31" s="233" t="s">
        <v>110</v>
      </c>
      <c r="C31" s="306" t="s">
        <v>111</v>
      </c>
      <c r="D31" s="307" t="s">
        <v>57</v>
      </c>
      <c r="E31" s="308">
        <f>E22</f>
        <v>607</v>
      </c>
      <c r="F31" s="235"/>
      <c r="G31" s="225">
        <f>E31*F31</f>
        <v>0</v>
      </c>
    </row>
    <row r="32" spans="2:7" ht="63.75" x14ac:dyDescent="0.2">
      <c r="B32" s="233" t="s">
        <v>112</v>
      </c>
      <c r="C32" s="309" t="s">
        <v>113</v>
      </c>
      <c r="D32" s="307" t="s">
        <v>64</v>
      </c>
      <c r="E32" s="308">
        <v>2</v>
      </c>
      <c r="F32" s="235"/>
      <c r="G32" s="225">
        <f>E32*F32</f>
        <v>0</v>
      </c>
    </row>
    <row r="33" spans="2:8" ht="38.25" x14ac:dyDescent="0.2">
      <c r="B33" s="233" t="s">
        <v>114</v>
      </c>
      <c r="C33" s="234" t="s">
        <v>115</v>
      </c>
      <c r="D33" s="226" t="s">
        <v>46</v>
      </c>
      <c r="E33" s="224">
        <v>1</v>
      </c>
      <c r="F33" s="235"/>
      <c r="G33" s="225">
        <f>E33*F33</f>
        <v>0</v>
      </c>
    </row>
    <row r="34" spans="2:8" x14ac:dyDescent="0.2">
      <c r="B34" s="233" t="s">
        <v>116</v>
      </c>
      <c r="C34" s="234" t="s">
        <v>117</v>
      </c>
      <c r="D34" s="226"/>
      <c r="E34" s="224"/>
      <c r="F34" s="235"/>
      <c r="G34" s="225"/>
    </row>
    <row r="35" spans="2:8" ht="25.5" x14ac:dyDescent="0.2">
      <c r="B35" s="233" t="s">
        <v>118</v>
      </c>
      <c r="C35" s="306" t="s">
        <v>119</v>
      </c>
      <c r="D35" s="307" t="s">
        <v>120</v>
      </c>
      <c r="E35" s="308">
        <v>25</v>
      </c>
      <c r="F35" s="235"/>
      <c r="G35" s="225">
        <f>E35*F35</f>
        <v>0</v>
      </c>
      <c r="H35" s="264" t="s">
        <v>330</v>
      </c>
    </row>
    <row r="36" spans="2:8" ht="25.5" x14ac:dyDescent="0.2">
      <c r="B36" s="233" t="s">
        <v>121</v>
      </c>
      <c r="C36" s="306" t="s">
        <v>122</v>
      </c>
      <c r="D36" s="307" t="s">
        <v>120</v>
      </c>
      <c r="E36" s="308">
        <v>5</v>
      </c>
      <c r="F36" s="235"/>
      <c r="G36" s="225">
        <f>E36*F36</f>
        <v>0</v>
      </c>
    </row>
    <row r="37" spans="2:8" ht="38.25" x14ac:dyDescent="0.2">
      <c r="B37" s="233" t="s">
        <v>123</v>
      </c>
      <c r="C37" s="234" t="s">
        <v>124</v>
      </c>
      <c r="D37" s="307" t="s">
        <v>120</v>
      </c>
      <c r="E37" s="308">
        <v>30</v>
      </c>
      <c r="F37" s="235"/>
      <c r="G37" s="225">
        <f>E37*F37</f>
        <v>0</v>
      </c>
      <c r="H37" s="264" t="s">
        <v>331</v>
      </c>
    </row>
    <row r="38" spans="2:8" ht="38.25" x14ac:dyDescent="0.2">
      <c r="B38" s="233" t="s">
        <v>125</v>
      </c>
      <c r="C38" s="234" t="s">
        <v>126</v>
      </c>
      <c r="D38" s="226"/>
      <c r="E38" s="224"/>
      <c r="F38" s="235"/>
      <c r="G38" s="225">
        <f>+ROUND((SUM(G22:G37)*0.1),-1)</f>
        <v>0</v>
      </c>
    </row>
    <row r="39" spans="2:8" x14ac:dyDescent="0.2">
      <c r="B39" s="233"/>
      <c r="C39" s="283" t="s">
        <v>127</v>
      </c>
      <c r="D39" s="226"/>
      <c r="E39" s="224"/>
      <c r="F39" s="235"/>
      <c r="G39" s="310">
        <f>SUM(G22:G38)</f>
        <v>0</v>
      </c>
    </row>
    <row r="40" spans="2:8" x14ac:dyDescent="0.2">
      <c r="B40" s="301" t="s">
        <v>73</v>
      </c>
      <c r="C40" s="283" t="s">
        <v>74</v>
      </c>
      <c r="D40" s="226"/>
      <c r="E40" s="275"/>
      <c r="F40" s="329"/>
      <c r="G40" s="274"/>
    </row>
    <row r="41" spans="2:8" x14ac:dyDescent="0.2">
      <c r="B41" s="233" t="s">
        <v>128</v>
      </c>
      <c r="C41" s="274" t="s">
        <v>129</v>
      </c>
      <c r="D41" s="226"/>
      <c r="E41" s="275"/>
      <c r="F41" s="329"/>
      <c r="G41" s="274"/>
    </row>
    <row r="42" spans="2:8" ht="63.75" hidden="1" x14ac:dyDescent="0.2">
      <c r="B42" s="233" t="s">
        <v>130</v>
      </c>
      <c r="C42" s="311" t="s">
        <v>131</v>
      </c>
      <c r="D42" s="223" t="s">
        <v>132</v>
      </c>
      <c r="E42" s="224"/>
      <c r="F42" s="235"/>
      <c r="G42" s="225">
        <f t="shared" ref="G42:G50" si="3">+ROUND((E42*F42),2)</f>
        <v>0</v>
      </c>
      <c r="H42" s="264" t="s">
        <v>133</v>
      </c>
    </row>
    <row r="43" spans="2:8" ht="51" x14ac:dyDescent="0.2">
      <c r="B43" s="233" t="s">
        <v>134</v>
      </c>
      <c r="C43" s="234" t="s">
        <v>135</v>
      </c>
      <c r="D43" s="226" t="s">
        <v>136</v>
      </c>
      <c r="E43" s="224">
        <f>48+34+30*3+40</f>
        <v>212</v>
      </c>
      <c r="F43" s="235"/>
      <c r="G43" s="225">
        <f t="shared" si="3"/>
        <v>0</v>
      </c>
    </row>
    <row r="44" spans="2:8" ht="51" x14ac:dyDescent="0.2">
      <c r="B44" s="233" t="s">
        <v>137</v>
      </c>
      <c r="C44" s="234" t="s">
        <v>138</v>
      </c>
      <c r="D44" s="226" t="s">
        <v>136</v>
      </c>
      <c r="E44" s="224">
        <f>582*2.5</f>
        <v>1455</v>
      </c>
      <c r="F44" s="235"/>
      <c r="G44" s="225">
        <f t="shared" si="3"/>
        <v>0</v>
      </c>
    </row>
    <row r="45" spans="2:8" ht="63.75" x14ac:dyDescent="0.2">
      <c r="B45" s="233" t="s">
        <v>139</v>
      </c>
      <c r="C45" s="234" t="s">
        <v>140</v>
      </c>
      <c r="D45" s="226" t="s">
        <v>136</v>
      </c>
      <c r="E45" s="224">
        <f>582*4.75</f>
        <v>2764.5</v>
      </c>
      <c r="F45" s="235"/>
      <c r="G45" s="225">
        <f t="shared" si="3"/>
        <v>0</v>
      </c>
    </row>
    <row r="46" spans="2:8" ht="25.5" x14ac:dyDescent="0.2">
      <c r="B46" s="233" t="s">
        <v>141</v>
      </c>
      <c r="C46" s="302" t="s">
        <v>142</v>
      </c>
      <c r="D46" s="223" t="s">
        <v>57</v>
      </c>
      <c r="E46" s="224">
        <f>13+15+7+10</f>
        <v>45</v>
      </c>
      <c r="F46" s="235"/>
      <c r="G46" s="225">
        <f t="shared" si="3"/>
        <v>0</v>
      </c>
    </row>
    <row r="47" spans="2:8" ht="25.5" x14ac:dyDescent="0.2">
      <c r="B47" s="233" t="s">
        <v>143</v>
      </c>
      <c r="C47" s="302" t="s">
        <v>144</v>
      </c>
      <c r="D47" s="223" t="s">
        <v>57</v>
      </c>
      <c r="E47" s="224">
        <f>582*2</f>
        <v>1164</v>
      </c>
      <c r="F47" s="235"/>
      <c r="G47" s="225">
        <f t="shared" si="3"/>
        <v>0</v>
      </c>
    </row>
    <row r="48" spans="2:8" ht="63.75" x14ac:dyDescent="0.2">
      <c r="B48" s="233" t="s">
        <v>145</v>
      </c>
      <c r="C48" s="311" t="s">
        <v>146</v>
      </c>
      <c r="D48" s="223" t="s">
        <v>132</v>
      </c>
      <c r="E48" s="224">
        <f>+(20*2+40*1+16*2+116*2+187*2)*0.2</f>
        <v>143.6</v>
      </c>
      <c r="F48" s="235"/>
      <c r="G48" s="225">
        <f t="shared" si="3"/>
        <v>0</v>
      </c>
    </row>
    <row r="49" spans="2:8" ht="44.25" customHeight="1" x14ac:dyDescent="0.2">
      <c r="B49" s="233" t="s">
        <v>147</v>
      </c>
      <c r="C49" s="234" t="s">
        <v>148</v>
      </c>
      <c r="D49" s="226" t="s">
        <v>57</v>
      </c>
      <c r="E49" s="224">
        <v>5</v>
      </c>
      <c r="F49" s="235"/>
      <c r="G49" s="225">
        <f t="shared" si="3"/>
        <v>0</v>
      </c>
      <c r="H49" s="264" t="s">
        <v>149</v>
      </c>
    </row>
    <row r="50" spans="2:8" ht="63.75" hidden="1" x14ac:dyDescent="0.2">
      <c r="B50" s="233" t="s">
        <v>150</v>
      </c>
      <c r="C50" s="234" t="s">
        <v>151</v>
      </c>
      <c r="D50" s="226" t="s">
        <v>132</v>
      </c>
      <c r="E50" s="312">
        <f>E41*0.6</f>
        <v>0</v>
      </c>
      <c r="F50" s="235"/>
      <c r="G50" s="225">
        <f t="shared" si="3"/>
        <v>0</v>
      </c>
      <c r="H50" s="264" t="s">
        <v>152</v>
      </c>
    </row>
    <row r="51" spans="2:8" x14ac:dyDescent="0.2">
      <c r="B51" s="233" t="s">
        <v>153</v>
      </c>
      <c r="C51" s="274" t="s">
        <v>154</v>
      </c>
      <c r="D51" s="226"/>
      <c r="E51" s="224"/>
      <c r="F51" s="235"/>
      <c r="G51" s="225"/>
    </row>
    <row r="52" spans="2:8" ht="38.25" hidden="1" x14ac:dyDescent="0.2">
      <c r="B52" s="233" t="s">
        <v>155</v>
      </c>
      <c r="C52" s="234" t="s">
        <v>156</v>
      </c>
      <c r="D52" s="226" t="s">
        <v>136</v>
      </c>
      <c r="E52" s="312">
        <v>0</v>
      </c>
      <c r="F52" s="235"/>
      <c r="G52" s="225">
        <f t="shared" ref="G52:G67" si="4">+ROUND((E52*F52),2)</f>
        <v>0</v>
      </c>
      <c r="H52" s="264" t="s">
        <v>152</v>
      </c>
    </row>
    <row r="53" spans="2:8" ht="51" x14ac:dyDescent="0.2">
      <c r="B53" s="233" t="s">
        <v>157</v>
      </c>
      <c r="C53" s="234" t="s">
        <v>158</v>
      </c>
      <c r="D53" s="226" t="s">
        <v>132</v>
      </c>
      <c r="E53" s="224">
        <f>(E43+E44)*0.4</f>
        <v>666.80000000000007</v>
      </c>
      <c r="F53" s="235"/>
      <c r="G53" s="225">
        <f t="shared" si="4"/>
        <v>0</v>
      </c>
    </row>
    <row r="54" spans="2:8" ht="25.5" x14ac:dyDescent="0.2">
      <c r="B54" s="233" t="s">
        <v>159</v>
      </c>
      <c r="C54" s="234" t="s">
        <v>160</v>
      </c>
      <c r="D54" s="226" t="s">
        <v>136</v>
      </c>
      <c r="E54" s="224">
        <f>E43+E44</f>
        <v>1667</v>
      </c>
      <c r="F54" s="235"/>
      <c r="G54" s="225">
        <f t="shared" si="4"/>
        <v>0</v>
      </c>
    </row>
    <row r="55" spans="2:8" ht="51" x14ac:dyDescent="0.2">
      <c r="B55" s="233" t="s">
        <v>161</v>
      </c>
      <c r="C55" s="234" t="s">
        <v>162</v>
      </c>
      <c r="D55" s="226" t="s">
        <v>132</v>
      </c>
      <c r="E55" s="224">
        <f>(E43+E44)*0.25</f>
        <v>416.75</v>
      </c>
      <c r="F55" s="235"/>
      <c r="G55" s="225">
        <f t="shared" si="4"/>
        <v>0</v>
      </c>
    </row>
    <row r="56" spans="2:8" ht="38.25" x14ac:dyDescent="0.2">
      <c r="B56" s="233" t="s">
        <v>163</v>
      </c>
      <c r="C56" s="234" t="s">
        <v>164</v>
      </c>
      <c r="D56" s="226" t="s">
        <v>46</v>
      </c>
      <c r="E56" s="224">
        <v>1</v>
      </c>
      <c r="F56" s="235"/>
      <c r="G56" s="225">
        <f t="shared" si="4"/>
        <v>0</v>
      </c>
    </row>
    <row r="57" spans="2:8" ht="25.5" x14ac:dyDescent="0.2">
      <c r="B57" s="233" t="s">
        <v>165</v>
      </c>
      <c r="C57" s="234" t="s">
        <v>166</v>
      </c>
      <c r="D57" s="226" t="s">
        <v>136</v>
      </c>
      <c r="E57" s="224">
        <f>+E43+E44</f>
        <v>1667</v>
      </c>
      <c r="F57" s="235"/>
      <c r="G57" s="225">
        <f t="shared" si="4"/>
        <v>0</v>
      </c>
    </row>
    <row r="58" spans="2:8" ht="25.5" x14ac:dyDescent="0.2">
      <c r="B58" s="233" t="s">
        <v>167</v>
      </c>
      <c r="C58" s="234" t="s">
        <v>168</v>
      </c>
      <c r="D58" s="226" t="s">
        <v>136</v>
      </c>
      <c r="E58" s="224">
        <f>+E43+E44</f>
        <v>1667</v>
      </c>
      <c r="F58" s="235"/>
      <c r="G58" s="225">
        <f t="shared" si="4"/>
        <v>0</v>
      </c>
    </row>
    <row r="59" spans="2:8" ht="51" x14ac:dyDescent="0.2">
      <c r="B59" s="233" t="s">
        <v>169</v>
      </c>
      <c r="C59" s="234" t="s">
        <v>170</v>
      </c>
      <c r="D59" s="226" t="s">
        <v>171</v>
      </c>
      <c r="E59" s="224">
        <f>E46+E47</f>
        <v>1209</v>
      </c>
      <c r="F59" s="235"/>
      <c r="G59" s="225">
        <f t="shared" si="4"/>
        <v>0</v>
      </c>
    </row>
    <row r="60" spans="2:8" ht="38.25" x14ac:dyDescent="0.2">
      <c r="B60" s="233" t="s">
        <v>172</v>
      </c>
      <c r="C60" s="234" t="s">
        <v>173</v>
      </c>
      <c r="D60" s="226" t="s">
        <v>136</v>
      </c>
      <c r="E60" s="224">
        <f>E43</f>
        <v>212</v>
      </c>
      <c r="F60" s="235"/>
      <c r="G60" s="225">
        <f t="shared" si="4"/>
        <v>0</v>
      </c>
      <c r="H60" s="264" t="s">
        <v>174</v>
      </c>
    </row>
    <row r="61" spans="2:8" ht="38.25" x14ac:dyDescent="0.2">
      <c r="B61" s="233" t="s">
        <v>175</v>
      </c>
      <c r="C61" s="234" t="s">
        <v>176</v>
      </c>
      <c r="D61" s="226" t="s">
        <v>136</v>
      </c>
      <c r="E61" s="224">
        <f>E43</f>
        <v>212</v>
      </c>
      <c r="F61" s="235"/>
      <c r="G61" s="225">
        <f t="shared" si="4"/>
        <v>0</v>
      </c>
      <c r="H61" s="264" t="s">
        <v>174</v>
      </c>
    </row>
    <row r="62" spans="2:8" ht="38.25" x14ac:dyDescent="0.2">
      <c r="B62" s="233" t="s">
        <v>177</v>
      </c>
      <c r="C62" s="234" t="s">
        <v>178</v>
      </c>
      <c r="D62" s="226" t="s">
        <v>136</v>
      </c>
      <c r="E62" s="224">
        <f>+E44</f>
        <v>1455</v>
      </c>
      <c r="F62" s="235"/>
      <c r="G62" s="225">
        <f t="shared" si="4"/>
        <v>0</v>
      </c>
      <c r="H62" s="264" t="s">
        <v>179</v>
      </c>
    </row>
    <row r="63" spans="2:8" ht="38.25" x14ac:dyDescent="0.2">
      <c r="B63" s="233" t="s">
        <v>180</v>
      </c>
      <c r="C63" s="234" t="s">
        <v>181</v>
      </c>
      <c r="D63" s="226" t="s">
        <v>136</v>
      </c>
      <c r="E63" s="224">
        <f>+E44</f>
        <v>1455</v>
      </c>
      <c r="F63" s="235"/>
      <c r="G63" s="225">
        <f t="shared" si="4"/>
        <v>0</v>
      </c>
      <c r="H63" s="264" t="s">
        <v>179</v>
      </c>
    </row>
    <row r="64" spans="2:8" ht="38.25" x14ac:dyDescent="0.2">
      <c r="B64" s="233" t="s">
        <v>182</v>
      </c>
      <c r="C64" s="234" t="s">
        <v>183</v>
      </c>
      <c r="D64" s="226" t="s">
        <v>136</v>
      </c>
      <c r="E64" s="224">
        <f>+E45</f>
        <v>2764.5</v>
      </c>
      <c r="F64" s="235"/>
      <c r="G64" s="225">
        <f t="shared" si="4"/>
        <v>0</v>
      </c>
      <c r="H64" s="264" t="s">
        <v>179</v>
      </c>
    </row>
    <row r="65" spans="2:8" ht="25.5" x14ac:dyDescent="0.2">
      <c r="B65" s="233" t="s">
        <v>184</v>
      </c>
      <c r="C65" s="234" t="s">
        <v>185</v>
      </c>
      <c r="D65" s="226" t="s">
        <v>57</v>
      </c>
      <c r="E65" s="224">
        <f>+E49</f>
        <v>5</v>
      </c>
      <c r="F65" s="235"/>
      <c r="G65" s="225">
        <f t="shared" si="4"/>
        <v>0</v>
      </c>
    </row>
    <row r="66" spans="2:8" ht="25.5" hidden="1" x14ac:dyDescent="0.2">
      <c r="B66" s="233" t="s">
        <v>186</v>
      </c>
      <c r="C66" s="234" t="s">
        <v>187</v>
      </c>
      <c r="D66" s="226" t="s">
        <v>57</v>
      </c>
      <c r="E66" s="224"/>
      <c r="F66" s="235"/>
      <c r="G66" s="225">
        <f t="shared" si="4"/>
        <v>0</v>
      </c>
    </row>
    <row r="67" spans="2:8" hidden="1" x14ac:dyDescent="0.2">
      <c r="B67" s="233" t="s">
        <v>188</v>
      </c>
      <c r="C67" s="234" t="s">
        <v>189</v>
      </c>
      <c r="D67" s="226" t="s">
        <v>57</v>
      </c>
      <c r="E67" s="224"/>
      <c r="F67" s="235"/>
      <c r="G67" s="225">
        <f t="shared" si="4"/>
        <v>0</v>
      </c>
    </row>
    <row r="68" spans="2:8" ht="25.5" hidden="1" x14ac:dyDescent="0.2">
      <c r="B68" s="233" t="s">
        <v>190</v>
      </c>
      <c r="C68" s="234" t="s">
        <v>191</v>
      </c>
      <c r="D68" s="226" t="s">
        <v>57</v>
      </c>
      <c r="E68" s="224"/>
      <c r="F68" s="235"/>
      <c r="G68" s="313">
        <f>+E68*F68</f>
        <v>0</v>
      </c>
    </row>
    <row r="69" spans="2:8" ht="44.25" hidden="1" customHeight="1" x14ac:dyDescent="0.2">
      <c r="B69" s="233" t="s">
        <v>192</v>
      </c>
      <c r="C69" s="234" t="s">
        <v>193</v>
      </c>
      <c r="D69" s="226" t="s">
        <v>64</v>
      </c>
      <c r="E69" s="224"/>
      <c r="F69" s="235"/>
      <c r="G69" s="313">
        <f>+E69*F69</f>
        <v>0</v>
      </c>
    </row>
    <row r="70" spans="2:8" ht="63.75" x14ac:dyDescent="0.2">
      <c r="B70" s="233" t="s">
        <v>194</v>
      </c>
      <c r="C70" s="234" t="s">
        <v>195</v>
      </c>
      <c r="D70" s="226" t="s">
        <v>57</v>
      </c>
      <c r="E70" s="224">
        <v>540</v>
      </c>
      <c r="F70" s="235"/>
      <c r="G70" s="225">
        <f>+ROUND((E70*F70),2)</f>
        <v>0</v>
      </c>
    </row>
    <row r="71" spans="2:8" ht="63.75" x14ac:dyDescent="0.2">
      <c r="B71" s="233" t="s">
        <v>196</v>
      </c>
      <c r="C71" s="234" t="s">
        <v>197</v>
      </c>
      <c r="D71" s="226" t="s">
        <v>57</v>
      </c>
      <c r="E71" s="224">
        <v>540</v>
      </c>
      <c r="F71" s="235"/>
      <c r="G71" s="225">
        <f>+ROUND((E71*F71),2)</f>
        <v>0</v>
      </c>
    </row>
    <row r="72" spans="2:8" ht="38.25" x14ac:dyDescent="0.2">
      <c r="B72" s="233" t="s">
        <v>198</v>
      </c>
      <c r="C72" s="234" t="s">
        <v>126</v>
      </c>
      <c r="D72" s="226"/>
      <c r="E72" s="224"/>
      <c r="F72" s="235"/>
      <c r="G72" s="225">
        <f>+ROUND((SUM(G42:G70)*0.1),-1)</f>
        <v>0</v>
      </c>
    </row>
    <row r="73" spans="2:8" x14ac:dyDescent="0.2">
      <c r="B73" s="233"/>
      <c r="C73" s="283" t="s">
        <v>199</v>
      </c>
      <c r="D73" s="226"/>
      <c r="E73" s="224"/>
      <c r="F73" s="235"/>
      <c r="G73" s="310">
        <f>SUM(G42:G72)</f>
        <v>0</v>
      </c>
    </row>
    <row r="74" spans="2:8" hidden="1" x14ac:dyDescent="0.2">
      <c r="B74" s="301" t="s">
        <v>75</v>
      </c>
      <c r="C74" s="283" t="s">
        <v>76</v>
      </c>
      <c r="D74" s="226"/>
      <c r="E74" s="224"/>
      <c r="F74" s="235"/>
      <c r="G74" s="225"/>
      <c r="H74" s="314"/>
    </row>
    <row r="75" spans="2:8" hidden="1" x14ac:dyDescent="0.2">
      <c r="B75" s="233" t="s">
        <v>200</v>
      </c>
      <c r="C75" s="234" t="s">
        <v>129</v>
      </c>
      <c r="D75" s="226"/>
      <c r="E75" s="224"/>
      <c r="F75" s="235"/>
      <c r="G75" s="225"/>
      <c r="H75" s="314"/>
    </row>
    <row r="76" spans="2:8" ht="38.25" hidden="1" x14ac:dyDescent="0.2">
      <c r="B76" s="233" t="s">
        <v>201</v>
      </c>
      <c r="C76" s="234" t="s">
        <v>202</v>
      </c>
      <c r="D76" s="226" t="s">
        <v>57</v>
      </c>
      <c r="E76" s="224"/>
      <c r="F76" s="235"/>
      <c r="G76" s="225">
        <f>+ROUND((E76*F76),2)</f>
        <v>0</v>
      </c>
      <c r="H76" s="314"/>
    </row>
    <row r="77" spans="2:8" ht="38.25" hidden="1" x14ac:dyDescent="0.2">
      <c r="B77" s="233" t="s">
        <v>203</v>
      </c>
      <c r="C77" s="234" t="s">
        <v>204</v>
      </c>
      <c r="D77" s="226" t="s">
        <v>64</v>
      </c>
      <c r="E77" s="224"/>
      <c r="F77" s="235"/>
      <c r="G77" s="225">
        <f>+ROUND((E77*F77),2)</f>
        <v>0</v>
      </c>
      <c r="H77" s="314"/>
    </row>
    <row r="78" spans="2:8" hidden="1" x14ac:dyDescent="0.2">
      <c r="B78" s="233" t="s">
        <v>205</v>
      </c>
      <c r="C78" s="234" t="s">
        <v>206</v>
      </c>
      <c r="D78" s="226"/>
      <c r="E78" s="224"/>
      <c r="F78" s="235"/>
      <c r="G78" s="225"/>
      <c r="H78" s="314"/>
    </row>
    <row r="79" spans="2:8" ht="51" hidden="1" x14ac:dyDescent="0.2">
      <c r="B79" s="233" t="s">
        <v>207</v>
      </c>
      <c r="C79" s="234" t="s">
        <v>208</v>
      </c>
      <c r="D79" s="226" t="s">
        <v>57</v>
      </c>
      <c r="E79" s="224"/>
      <c r="F79" s="235"/>
      <c r="G79" s="225">
        <f>+ROUND((E79*F79),2)</f>
        <v>0</v>
      </c>
      <c r="H79" s="314"/>
    </row>
    <row r="80" spans="2:8" ht="38.25" hidden="1" x14ac:dyDescent="0.2">
      <c r="B80" s="233" t="s">
        <v>209</v>
      </c>
      <c r="C80" s="234" t="s">
        <v>126</v>
      </c>
      <c r="D80" s="226"/>
      <c r="E80" s="224"/>
      <c r="F80" s="235"/>
      <c r="G80" s="225">
        <f>+ROUND((SUM(G76:G79)*0.1),-1)</f>
        <v>0</v>
      </c>
    </row>
    <row r="81" spans="2:10" hidden="1" x14ac:dyDescent="0.2">
      <c r="B81" s="233"/>
      <c r="C81" s="283" t="s">
        <v>210</v>
      </c>
      <c r="D81" s="226"/>
      <c r="E81" s="224"/>
      <c r="F81" s="235"/>
      <c r="G81" s="310">
        <f>SUM(G76:G80)</f>
        <v>0</v>
      </c>
    </row>
    <row r="82" spans="2:10" x14ac:dyDescent="0.2">
      <c r="B82" s="301" t="s">
        <v>77</v>
      </c>
      <c r="C82" s="283" t="s">
        <v>78</v>
      </c>
      <c r="D82" s="226"/>
      <c r="E82" s="224"/>
      <c r="F82" s="235"/>
      <c r="G82" s="225"/>
    </row>
    <row r="83" spans="2:10" ht="76.5" x14ac:dyDescent="0.2">
      <c r="B83" s="301"/>
      <c r="C83" s="304" t="s">
        <v>211</v>
      </c>
      <c r="D83" s="226"/>
      <c r="E83" s="224"/>
      <c r="F83" s="235"/>
      <c r="G83" s="225"/>
    </row>
    <row r="84" spans="2:10" x14ac:dyDescent="0.2">
      <c r="B84" s="233" t="s">
        <v>212</v>
      </c>
      <c r="C84" s="234" t="s">
        <v>213</v>
      </c>
      <c r="D84" s="226"/>
      <c r="E84" s="224"/>
      <c r="F84" s="235"/>
      <c r="G84" s="225"/>
    </row>
    <row r="85" spans="2:10" ht="51" x14ac:dyDescent="0.2">
      <c r="B85" s="233" t="s">
        <v>214</v>
      </c>
      <c r="C85" s="234" t="s">
        <v>215</v>
      </c>
      <c r="D85" s="226" t="s">
        <v>136</v>
      </c>
      <c r="E85" s="224">
        <v>2297</v>
      </c>
      <c r="F85" s="235"/>
      <c r="G85" s="225">
        <f t="shared" ref="G85:G92" si="5">+ROUND((E85*F85),2)</f>
        <v>0</v>
      </c>
      <c r="I85" s="273"/>
    </row>
    <row r="86" spans="2:10" ht="51" x14ac:dyDescent="0.2">
      <c r="B86" s="233" t="s">
        <v>216</v>
      </c>
      <c r="C86" s="234" t="s">
        <v>217</v>
      </c>
      <c r="D86" s="226" t="s">
        <v>136</v>
      </c>
      <c r="E86" s="224">
        <v>765</v>
      </c>
      <c r="F86" s="235"/>
      <c r="G86" s="225">
        <f t="shared" si="5"/>
        <v>0</v>
      </c>
      <c r="I86" s="273"/>
    </row>
    <row r="87" spans="2:10" ht="25.5" x14ac:dyDescent="0.2">
      <c r="B87" s="233" t="s">
        <v>218</v>
      </c>
      <c r="C87" s="234" t="s">
        <v>219</v>
      </c>
      <c r="D87" s="226" t="s">
        <v>132</v>
      </c>
      <c r="E87" s="224">
        <v>2189.69</v>
      </c>
      <c r="F87" s="235"/>
      <c r="G87" s="225">
        <f t="shared" si="5"/>
        <v>0</v>
      </c>
    </row>
    <row r="88" spans="2:10" ht="25.5" hidden="1" x14ac:dyDescent="0.2">
      <c r="B88" s="233" t="s">
        <v>220</v>
      </c>
      <c r="C88" s="234" t="s">
        <v>221</v>
      </c>
      <c r="D88" s="226" t="s">
        <v>132</v>
      </c>
      <c r="E88" s="224">
        <v>0</v>
      </c>
      <c r="F88" s="235"/>
      <c r="G88" s="225">
        <f t="shared" si="5"/>
        <v>0</v>
      </c>
    </row>
    <row r="89" spans="2:10" ht="38.25" x14ac:dyDescent="0.2">
      <c r="B89" s="233" t="s">
        <v>222</v>
      </c>
      <c r="C89" s="234" t="s">
        <v>223</v>
      </c>
      <c r="D89" s="226" t="s">
        <v>132</v>
      </c>
      <c r="E89" s="224">
        <v>137.55000000000001</v>
      </c>
      <c r="F89" s="235"/>
      <c r="G89" s="225">
        <f t="shared" si="5"/>
        <v>0</v>
      </c>
      <c r="J89" s="273"/>
    </row>
    <row r="90" spans="2:10" ht="25.5" x14ac:dyDescent="0.2">
      <c r="B90" s="233" t="s">
        <v>224</v>
      </c>
      <c r="C90" s="234" t="s">
        <v>225</v>
      </c>
      <c r="D90" s="226" t="s">
        <v>132</v>
      </c>
      <c r="E90" s="224">
        <f>+E95+E96</f>
        <v>227.018</v>
      </c>
      <c r="F90" s="235"/>
      <c r="G90" s="225">
        <f t="shared" si="5"/>
        <v>0</v>
      </c>
      <c r="I90" s="264">
        <f>+E87+E88+E89+E90</f>
        <v>2554.2580000000003</v>
      </c>
      <c r="J90" s="273"/>
    </row>
    <row r="91" spans="2:10" ht="25.5" x14ac:dyDescent="0.2">
      <c r="B91" s="233" t="s">
        <v>226</v>
      </c>
      <c r="C91" s="234" t="s">
        <v>227</v>
      </c>
      <c r="D91" s="226" t="s">
        <v>132</v>
      </c>
      <c r="E91" s="224">
        <f>+(E87+E88+E89)*0.02</f>
        <v>46.544800000000002</v>
      </c>
      <c r="F91" s="235"/>
      <c r="G91" s="225">
        <f t="shared" si="5"/>
        <v>0</v>
      </c>
    </row>
    <row r="92" spans="2:10" ht="25.5" x14ac:dyDescent="0.2">
      <c r="B92" s="233" t="s">
        <v>228</v>
      </c>
      <c r="C92" s="234" t="s">
        <v>229</v>
      </c>
      <c r="D92" s="226" t="s">
        <v>120</v>
      </c>
      <c r="E92" s="224">
        <v>200</v>
      </c>
      <c r="F92" s="235"/>
      <c r="G92" s="225">
        <f t="shared" si="5"/>
        <v>0</v>
      </c>
    </row>
    <row r="93" spans="2:10" x14ac:dyDescent="0.2">
      <c r="B93" s="233" t="s">
        <v>230</v>
      </c>
      <c r="C93" s="234" t="s">
        <v>231</v>
      </c>
      <c r="D93" s="226"/>
      <c r="E93" s="224"/>
      <c r="F93" s="235"/>
      <c r="G93" s="225"/>
    </row>
    <row r="94" spans="2:10" ht="25.5" x14ac:dyDescent="0.2">
      <c r="B94" s="233" t="s">
        <v>232</v>
      </c>
      <c r="C94" s="234" t="s">
        <v>233</v>
      </c>
      <c r="D94" s="226" t="s">
        <v>136</v>
      </c>
      <c r="E94" s="224">
        <f>E22*1.7</f>
        <v>1031.8999999999999</v>
      </c>
      <c r="F94" s="235"/>
      <c r="G94" s="225">
        <f t="shared" ref="G94:G101" si="6">+ROUND((E94*F94),2)</f>
        <v>0</v>
      </c>
    </row>
    <row r="95" spans="2:10" ht="76.5" x14ac:dyDescent="0.2">
      <c r="B95" s="233" t="s">
        <v>234</v>
      </c>
      <c r="C95" s="234" t="s">
        <v>235</v>
      </c>
      <c r="D95" s="226" t="s">
        <v>132</v>
      </c>
      <c r="E95" s="224">
        <f>E22*1.7*0.2*90%</f>
        <v>185.74199999999999</v>
      </c>
      <c r="F95" s="235"/>
      <c r="G95" s="225">
        <f t="shared" si="6"/>
        <v>0</v>
      </c>
    </row>
    <row r="96" spans="2:10" ht="127.5" x14ac:dyDescent="0.2">
      <c r="B96" s="233" t="s">
        <v>236</v>
      </c>
      <c r="C96" s="234" t="s">
        <v>237</v>
      </c>
      <c r="D96" s="226" t="s">
        <v>132</v>
      </c>
      <c r="E96" s="224">
        <f>E22*1.7*0.4*10%</f>
        <v>41.276000000000003</v>
      </c>
      <c r="F96" s="235"/>
      <c r="G96" s="225">
        <f t="shared" si="6"/>
        <v>0</v>
      </c>
    </row>
    <row r="97" spans="2:9" ht="76.5" x14ac:dyDescent="0.2">
      <c r="B97" s="233" t="s">
        <v>238</v>
      </c>
      <c r="C97" s="234" t="s">
        <v>239</v>
      </c>
      <c r="D97" s="226" t="s">
        <v>132</v>
      </c>
      <c r="E97" s="224">
        <v>139.62</v>
      </c>
      <c r="F97" s="235"/>
      <c r="G97" s="225">
        <f t="shared" si="6"/>
        <v>0</v>
      </c>
    </row>
    <row r="98" spans="2:9" ht="63.75" x14ac:dyDescent="0.2">
      <c r="B98" s="233" t="s">
        <v>240</v>
      </c>
      <c r="C98" s="234" t="s">
        <v>241</v>
      </c>
      <c r="D98" s="226" t="s">
        <v>132</v>
      </c>
      <c r="E98" s="224">
        <v>420.66</v>
      </c>
      <c r="F98" s="235"/>
      <c r="G98" s="225">
        <f t="shared" si="6"/>
        <v>0</v>
      </c>
    </row>
    <row r="99" spans="2:9" ht="51" x14ac:dyDescent="0.2">
      <c r="B99" s="233" t="s">
        <v>242</v>
      </c>
      <c r="C99" s="234" t="s">
        <v>243</v>
      </c>
      <c r="D99" s="226" t="s">
        <v>136</v>
      </c>
      <c r="E99" s="224">
        <f>4*E22</f>
        <v>2428</v>
      </c>
      <c r="F99" s="235"/>
      <c r="G99" s="225">
        <f t="shared" si="6"/>
        <v>0</v>
      </c>
    </row>
    <row r="100" spans="2:9" ht="63.75" x14ac:dyDescent="0.2">
      <c r="B100" s="233" t="s">
        <v>244</v>
      </c>
      <c r="C100" s="234" t="s">
        <v>245</v>
      </c>
      <c r="D100" s="226" t="s">
        <v>132</v>
      </c>
      <c r="E100" s="224">
        <f>((E87+E88+E89)-E97-E98-E53-E55-0.05*E109-0.07*E110-0.01*E111)*0.8</f>
        <v>522.44800000000021</v>
      </c>
      <c r="F100" s="235"/>
      <c r="G100" s="225">
        <f t="shared" si="6"/>
        <v>0</v>
      </c>
    </row>
    <row r="101" spans="2:9" ht="63.75" x14ac:dyDescent="0.2">
      <c r="B101" s="233" t="s">
        <v>246</v>
      </c>
      <c r="C101" s="234" t="s">
        <v>247</v>
      </c>
      <c r="D101" s="226" t="s">
        <v>132</v>
      </c>
      <c r="E101" s="315">
        <f>((E87+E88+E89)-E97-E98-E53-E55-0.05*E109-0.07*E110-0.01*E111)*0.2</f>
        <v>130.61200000000005</v>
      </c>
      <c r="F101" s="235"/>
      <c r="G101" s="225">
        <f t="shared" si="6"/>
        <v>0</v>
      </c>
    </row>
    <row r="102" spans="2:9" x14ac:dyDescent="0.2">
      <c r="B102" s="233" t="s">
        <v>248</v>
      </c>
      <c r="C102" s="234" t="s">
        <v>249</v>
      </c>
      <c r="D102" s="226"/>
      <c r="E102" s="315"/>
      <c r="F102" s="235"/>
      <c r="G102" s="225"/>
    </row>
    <row r="103" spans="2:9" ht="25.5" x14ac:dyDescent="0.2">
      <c r="B103" s="233" t="s">
        <v>250</v>
      </c>
      <c r="C103" s="234" t="s">
        <v>251</v>
      </c>
      <c r="D103" s="226" t="s">
        <v>132</v>
      </c>
      <c r="E103" s="315">
        <f>+(E87+E88+E89+E90)-E101</f>
        <v>2423.6460000000002</v>
      </c>
      <c r="F103" s="235"/>
      <c r="G103" s="225">
        <f>+ROUND((E103*F103),2)</f>
        <v>0</v>
      </c>
      <c r="I103" s="273">
        <f>E103+E104</f>
        <v>2554.2580000000003</v>
      </c>
    </row>
    <row r="104" spans="2:9" ht="25.5" x14ac:dyDescent="0.2">
      <c r="B104" s="233" t="s">
        <v>252</v>
      </c>
      <c r="C104" s="234" t="s">
        <v>253</v>
      </c>
      <c r="D104" s="226" t="s">
        <v>132</v>
      </c>
      <c r="E104" s="315">
        <f>+E101</f>
        <v>130.61200000000005</v>
      </c>
      <c r="F104" s="235"/>
      <c r="G104" s="225">
        <f>+ROUND((E104*F104),2)</f>
        <v>0</v>
      </c>
    </row>
    <row r="105" spans="2:9" ht="38.25" x14ac:dyDescent="0.2">
      <c r="B105" s="233" t="s">
        <v>254</v>
      </c>
      <c r="C105" s="234" t="s">
        <v>126</v>
      </c>
      <c r="D105" s="226"/>
      <c r="E105" s="315"/>
      <c r="F105" s="235"/>
      <c r="G105" s="225">
        <f>+ROUND((SUM(G85:G104)*0.1),-1)</f>
        <v>0</v>
      </c>
    </row>
    <row r="106" spans="2:9" x14ac:dyDescent="0.2">
      <c r="B106" s="233"/>
      <c r="C106" s="283" t="s">
        <v>255</v>
      </c>
      <c r="D106" s="226"/>
      <c r="E106" s="315"/>
      <c r="F106" s="235"/>
      <c r="G106" s="310">
        <f>SUM(G85:G105)</f>
        <v>0</v>
      </c>
    </row>
    <row r="107" spans="2:9" x14ac:dyDescent="0.2">
      <c r="B107" s="301" t="s">
        <v>79</v>
      </c>
      <c r="C107" s="283" t="s">
        <v>80</v>
      </c>
      <c r="D107" s="226"/>
      <c r="E107" s="224"/>
      <c r="F107" s="235"/>
      <c r="G107" s="225"/>
    </row>
    <row r="108" spans="2:9" x14ac:dyDescent="0.2">
      <c r="B108" s="233" t="s">
        <v>256</v>
      </c>
      <c r="C108" s="234" t="s">
        <v>257</v>
      </c>
      <c r="D108" s="226"/>
      <c r="E108" s="224"/>
      <c r="F108" s="235"/>
      <c r="G108" s="225"/>
    </row>
    <row r="109" spans="2:9" ht="129.6" customHeight="1" x14ac:dyDescent="0.2">
      <c r="B109" s="233" t="s">
        <v>258</v>
      </c>
      <c r="C109" s="234" t="s">
        <v>259</v>
      </c>
      <c r="D109" s="226" t="s">
        <v>57</v>
      </c>
      <c r="E109" s="224">
        <v>607</v>
      </c>
      <c r="F109" s="235"/>
      <c r="G109" s="225">
        <f>+ROUND((E109*F109),2)</f>
        <v>0</v>
      </c>
    </row>
    <row r="110" spans="2:9" ht="130.9" hidden="1" customHeight="1" x14ac:dyDescent="0.2">
      <c r="B110" s="233" t="s">
        <v>260</v>
      </c>
      <c r="C110" s="234" t="s">
        <v>261</v>
      </c>
      <c r="D110" s="226" t="s">
        <v>57</v>
      </c>
      <c r="E110" s="224"/>
      <c r="F110" s="235"/>
      <c r="G110" s="225">
        <f>+ROUND((E110*F110),2)</f>
        <v>0</v>
      </c>
    </row>
    <row r="111" spans="2:9" ht="51" hidden="1" x14ac:dyDescent="0.2">
      <c r="B111" s="233" t="s">
        <v>262</v>
      </c>
      <c r="C111" s="234" t="s">
        <v>263</v>
      </c>
      <c r="D111" s="226" t="s">
        <v>57</v>
      </c>
      <c r="E111" s="224"/>
      <c r="F111" s="235"/>
      <c r="G111" s="225">
        <f>+ROUND((E111*F111),2)</f>
        <v>0</v>
      </c>
    </row>
    <row r="112" spans="2:9" x14ac:dyDescent="0.2">
      <c r="B112" s="233" t="s">
        <v>264</v>
      </c>
      <c r="C112" s="234" t="s">
        <v>265</v>
      </c>
      <c r="D112" s="226"/>
      <c r="E112" s="224"/>
      <c r="F112" s="235"/>
      <c r="G112" s="225"/>
    </row>
    <row r="113" spans="2:7" ht="102" x14ac:dyDescent="0.2">
      <c r="B113" s="233" t="s">
        <v>266</v>
      </c>
      <c r="C113" s="234" t="s">
        <v>267</v>
      </c>
      <c r="D113" s="226" t="s">
        <v>64</v>
      </c>
      <c r="E113" s="224">
        <v>1</v>
      </c>
      <c r="F113" s="235"/>
      <c r="G113" s="225">
        <f>+ROUND((E113*F113),2)</f>
        <v>0</v>
      </c>
    </row>
    <row r="114" spans="2:7" ht="102" x14ac:dyDescent="0.2">
      <c r="B114" s="233" t="s">
        <v>268</v>
      </c>
      <c r="C114" s="234" t="s">
        <v>269</v>
      </c>
      <c r="D114" s="226" t="s">
        <v>64</v>
      </c>
      <c r="E114" s="224">
        <v>18</v>
      </c>
      <c r="F114" s="235"/>
      <c r="G114" s="225">
        <f>+ROUND((E114*F114),2)</f>
        <v>0</v>
      </c>
    </row>
    <row r="115" spans="2:7" ht="102" x14ac:dyDescent="0.2">
      <c r="B115" s="233" t="s">
        <v>270</v>
      </c>
      <c r="C115" s="234" t="s">
        <v>271</v>
      </c>
      <c r="D115" s="226" t="s">
        <v>64</v>
      </c>
      <c r="E115" s="224">
        <v>2</v>
      </c>
      <c r="F115" s="235"/>
      <c r="G115" s="225">
        <f>+ROUND((E115*F115),2)</f>
        <v>0</v>
      </c>
    </row>
    <row r="116" spans="2:7" ht="102" hidden="1" x14ac:dyDescent="0.2">
      <c r="B116" s="233" t="s">
        <v>272</v>
      </c>
      <c r="C116" s="234" t="s">
        <v>273</v>
      </c>
      <c r="D116" s="226" t="s">
        <v>64</v>
      </c>
      <c r="E116" s="224"/>
      <c r="F116" s="235"/>
      <c r="G116" s="225">
        <f>+ROUND((E116*F116),2)</f>
        <v>0</v>
      </c>
    </row>
    <row r="117" spans="2:7" ht="89.25" x14ac:dyDescent="0.2">
      <c r="B117" s="233" t="s">
        <v>274</v>
      </c>
      <c r="C117" s="234" t="s">
        <v>275</v>
      </c>
      <c r="D117" s="226" t="s">
        <v>64</v>
      </c>
      <c r="E117" s="224">
        <f>+E113+E114+E115+E116</f>
        <v>21</v>
      </c>
      <c r="F117" s="235"/>
      <c r="G117" s="225">
        <f>+ROUND((E117*F117),2)</f>
        <v>0</v>
      </c>
    </row>
    <row r="118" spans="2:7" ht="25.5" x14ac:dyDescent="0.2">
      <c r="B118" s="233" t="s">
        <v>276</v>
      </c>
      <c r="C118" s="234" t="s">
        <v>277</v>
      </c>
      <c r="D118" s="226" t="s">
        <v>64</v>
      </c>
      <c r="E118" s="224">
        <v>6</v>
      </c>
      <c r="F118" s="235"/>
      <c r="G118" s="225">
        <f>+E118*F118</f>
        <v>0</v>
      </c>
    </row>
    <row r="119" spans="2:7" x14ac:dyDescent="0.2">
      <c r="B119" s="233" t="s">
        <v>278</v>
      </c>
      <c r="C119" s="234" t="s">
        <v>279</v>
      </c>
      <c r="D119" s="226"/>
      <c r="E119" s="224"/>
      <c r="F119" s="235"/>
      <c r="G119" s="225"/>
    </row>
    <row r="120" spans="2:7" ht="51" x14ac:dyDescent="0.2">
      <c r="B120" s="233" t="s">
        <v>280</v>
      </c>
      <c r="C120" s="234" t="s">
        <v>281</v>
      </c>
      <c r="D120" s="226" t="s">
        <v>64</v>
      </c>
      <c r="E120" s="224">
        <v>11</v>
      </c>
      <c r="F120" s="235"/>
      <c r="G120" s="225">
        <f>+ROUND((E120*F120),2)</f>
        <v>0</v>
      </c>
    </row>
    <row r="121" spans="2:7" ht="51" x14ac:dyDescent="0.2">
      <c r="B121" s="233" t="s">
        <v>282</v>
      </c>
      <c r="C121" s="234" t="s">
        <v>332</v>
      </c>
      <c r="D121" s="226" t="s">
        <v>64</v>
      </c>
      <c r="E121" s="224">
        <v>2</v>
      </c>
      <c r="F121" s="235"/>
      <c r="G121" s="225">
        <f>+ROUND((E121*F121),2)</f>
        <v>0</v>
      </c>
    </row>
    <row r="122" spans="2:7" ht="25.5" x14ac:dyDescent="0.2">
      <c r="B122" s="233" t="s">
        <v>284</v>
      </c>
      <c r="C122" s="234" t="s">
        <v>285</v>
      </c>
      <c r="D122" s="226" t="s">
        <v>95</v>
      </c>
      <c r="E122" s="224">
        <v>1</v>
      </c>
      <c r="F122" s="235"/>
      <c r="G122" s="225">
        <f>+E122*F122</f>
        <v>0</v>
      </c>
    </row>
    <row r="123" spans="2:7" ht="25.5" x14ac:dyDescent="0.2">
      <c r="B123" s="233" t="s">
        <v>286</v>
      </c>
      <c r="C123" s="234" t="s">
        <v>287</v>
      </c>
      <c r="D123" s="226" t="s">
        <v>57</v>
      </c>
      <c r="E123" s="224">
        <v>5</v>
      </c>
      <c r="F123" s="235"/>
      <c r="G123" s="225">
        <f>+ROUND((E123*F123),2)</f>
        <v>0</v>
      </c>
    </row>
    <row r="124" spans="2:7" x14ac:dyDescent="0.2">
      <c r="B124" s="233" t="s">
        <v>288</v>
      </c>
      <c r="C124" s="234" t="s">
        <v>289</v>
      </c>
      <c r="D124" s="226"/>
      <c r="E124" s="224"/>
      <c r="F124" s="235"/>
      <c r="G124" s="225"/>
    </row>
    <row r="125" spans="2:7" x14ac:dyDescent="0.2">
      <c r="B125" s="233" t="s">
        <v>290</v>
      </c>
      <c r="C125" s="234" t="s">
        <v>291</v>
      </c>
      <c r="D125" s="226" t="s">
        <v>57</v>
      </c>
      <c r="E125" s="224">
        <f>E22</f>
        <v>607</v>
      </c>
      <c r="F125" s="235"/>
      <c r="G125" s="225">
        <f>+ROUND((E125*F125),2)</f>
        <v>0</v>
      </c>
    </row>
    <row r="126" spans="2:7" ht="38.25" x14ac:dyDescent="0.2">
      <c r="B126" s="233" t="s">
        <v>292</v>
      </c>
      <c r="C126" s="234" t="s">
        <v>293</v>
      </c>
      <c r="D126" s="226" t="s">
        <v>57</v>
      </c>
      <c r="E126" s="224">
        <f>+E125</f>
        <v>607</v>
      </c>
      <c r="F126" s="235"/>
      <c r="G126" s="225">
        <f>+ROUND((E126*F126),2)</f>
        <v>0</v>
      </c>
    </row>
    <row r="127" spans="2:7" ht="51" x14ac:dyDescent="0.2">
      <c r="B127" s="233" t="s">
        <v>294</v>
      </c>
      <c r="C127" s="234" t="s">
        <v>295</v>
      </c>
      <c r="D127" s="226" t="s">
        <v>57</v>
      </c>
      <c r="E127" s="224">
        <f>+E126</f>
        <v>607</v>
      </c>
      <c r="F127" s="235"/>
      <c r="G127" s="225">
        <f>+ROUND((E127*F127),2)</f>
        <v>0</v>
      </c>
    </row>
    <row r="128" spans="2:7" x14ac:dyDescent="0.2">
      <c r="B128" s="233" t="s">
        <v>296</v>
      </c>
      <c r="C128" s="234" t="s">
        <v>297</v>
      </c>
      <c r="D128" s="226"/>
      <c r="E128" s="224"/>
      <c r="F128" s="235"/>
      <c r="G128" s="225"/>
    </row>
    <row r="129" spans="2:7" ht="25.5" x14ac:dyDescent="0.2">
      <c r="B129" s="233" t="s">
        <v>298</v>
      </c>
      <c r="C129" s="234" t="s">
        <v>299</v>
      </c>
      <c r="D129" s="226" t="s">
        <v>64</v>
      </c>
      <c r="E129" s="224">
        <v>5</v>
      </c>
      <c r="F129" s="235"/>
      <c r="G129" s="225">
        <f t="shared" ref="G129:G138" si="7">+ROUND((E129*F129),2)</f>
        <v>0</v>
      </c>
    </row>
    <row r="130" spans="2:7" ht="25.5" x14ac:dyDescent="0.2">
      <c r="B130" s="233" t="s">
        <v>300</v>
      </c>
      <c r="C130" s="234" t="s">
        <v>301</v>
      </c>
      <c r="D130" s="226" t="s">
        <v>64</v>
      </c>
      <c r="E130" s="224">
        <v>3</v>
      </c>
      <c r="F130" s="235"/>
      <c r="G130" s="225">
        <f t="shared" si="7"/>
        <v>0</v>
      </c>
    </row>
    <row r="131" spans="2:7" ht="38.25" x14ac:dyDescent="0.2">
      <c r="B131" s="233" t="s">
        <v>302</v>
      </c>
      <c r="C131" s="234" t="s">
        <v>303</v>
      </c>
      <c r="D131" s="226" t="s">
        <v>64</v>
      </c>
      <c r="E131" s="224">
        <v>7</v>
      </c>
      <c r="F131" s="235"/>
      <c r="G131" s="225">
        <f t="shared" si="7"/>
        <v>0</v>
      </c>
    </row>
    <row r="132" spans="2:7" ht="25.5" x14ac:dyDescent="0.2">
      <c r="B132" s="233" t="s">
        <v>304</v>
      </c>
      <c r="C132" s="234" t="s">
        <v>305</v>
      </c>
      <c r="D132" s="226" t="s">
        <v>64</v>
      </c>
      <c r="E132" s="224">
        <v>1</v>
      </c>
      <c r="F132" s="235"/>
      <c r="G132" s="225">
        <f t="shared" si="7"/>
        <v>0</v>
      </c>
    </row>
    <row r="133" spans="2:7" ht="38.25" x14ac:dyDescent="0.2">
      <c r="B133" s="233" t="s">
        <v>306</v>
      </c>
      <c r="C133" s="234" t="s">
        <v>307</v>
      </c>
      <c r="D133" s="226" t="s">
        <v>64</v>
      </c>
      <c r="E133" s="224">
        <v>9</v>
      </c>
      <c r="F133" s="235"/>
      <c r="G133" s="225">
        <f t="shared" si="7"/>
        <v>0</v>
      </c>
    </row>
    <row r="134" spans="2:7" ht="38.25" x14ac:dyDescent="0.2">
      <c r="B134" s="233" t="s">
        <v>308</v>
      </c>
      <c r="C134" s="234" t="s">
        <v>309</v>
      </c>
      <c r="D134" s="226" t="s">
        <v>64</v>
      </c>
      <c r="E134" s="224">
        <v>5</v>
      </c>
      <c r="F134" s="235"/>
      <c r="G134" s="225">
        <f t="shared" si="7"/>
        <v>0</v>
      </c>
    </row>
    <row r="135" spans="2:7" ht="89.25" hidden="1" x14ac:dyDescent="0.2">
      <c r="B135" s="233" t="s">
        <v>310</v>
      </c>
      <c r="C135" s="234" t="s">
        <v>311</v>
      </c>
      <c r="D135" s="226" t="s">
        <v>57</v>
      </c>
      <c r="E135" s="224"/>
      <c r="F135" s="235"/>
      <c r="G135" s="225">
        <f t="shared" si="7"/>
        <v>0</v>
      </c>
    </row>
    <row r="136" spans="2:7" ht="89.25" hidden="1" x14ac:dyDescent="0.2">
      <c r="B136" s="233" t="s">
        <v>312</v>
      </c>
      <c r="C136" s="234" t="s">
        <v>313</v>
      </c>
      <c r="D136" s="226" t="s">
        <v>57</v>
      </c>
      <c r="E136" s="224"/>
      <c r="F136" s="235"/>
      <c r="G136" s="225">
        <f t="shared" si="7"/>
        <v>0</v>
      </c>
    </row>
    <row r="137" spans="2:7" ht="89.25" hidden="1" x14ac:dyDescent="0.2">
      <c r="B137" s="233" t="s">
        <v>314</v>
      </c>
      <c r="C137" s="234" t="s">
        <v>315</v>
      </c>
      <c r="D137" s="226" t="s">
        <v>57</v>
      </c>
      <c r="E137" s="224"/>
      <c r="F137" s="235"/>
      <c r="G137" s="225">
        <f t="shared" si="7"/>
        <v>0</v>
      </c>
    </row>
    <row r="138" spans="2:7" ht="76.5" hidden="1" x14ac:dyDescent="0.2">
      <c r="B138" s="233" t="s">
        <v>316</v>
      </c>
      <c r="C138" s="234" t="s">
        <v>317</v>
      </c>
      <c r="D138" s="226" t="s">
        <v>57</v>
      </c>
      <c r="E138" s="224"/>
      <c r="F138" s="235"/>
      <c r="G138" s="225">
        <f t="shared" si="7"/>
        <v>0</v>
      </c>
    </row>
    <row r="139" spans="2:7" ht="38.25" x14ac:dyDescent="0.2">
      <c r="B139" s="233" t="s">
        <v>318</v>
      </c>
      <c r="C139" s="234" t="s">
        <v>126</v>
      </c>
      <c r="D139" s="226"/>
      <c r="E139" s="224"/>
      <c r="F139" s="235"/>
      <c r="G139" s="225">
        <f>+ROUND((SUM(G109:G138)*0.1),-1)</f>
        <v>0</v>
      </c>
    </row>
    <row r="140" spans="2:7" x14ac:dyDescent="0.2">
      <c r="B140" s="233"/>
      <c r="C140" s="283" t="s">
        <v>319</v>
      </c>
      <c r="D140" s="226"/>
      <c r="E140" s="224"/>
      <c r="F140" s="235"/>
      <c r="G140" s="310">
        <f>SUM(G109:G139)</f>
        <v>0</v>
      </c>
    </row>
    <row r="141" spans="2:7" x14ac:dyDescent="0.2">
      <c r="B141" s="301" t="s">
        <v>81</v>
      </c>
      <c r="C141" s="283" t="s">
        <v>320</v>
      </c>
      <c r="D141" s="226"/>
      <c r="E141" s="224"/>
      <c r="F141" s="235"/>
      <c r="G141" s="225"/>
    </row>
    <row r="142" spans="2:7" ht="324" customHeight="1" x14ac:dyDescent="0.2">
      <c r="B142" s="233" t="s">
        <v>321</v>
      </c>
      <c r="C142" s="234" t="s">
        <v>322</v>
      </c>
      <c r="D142" s="226" t="s">
        <v>57</v>
      </c>
      <c r="E142" s="224">
        <v>98</v>
      </c>
      <c r="F142" s="235"/>
      <c r="G142" s="225">
        <f>+ROUND((E142*F142),2)</f>
        <v>0</v>
      </c>
    </row>
    <row r="143" spans="2:7" ht="324" customHeight="1" x14ac:dyDescent="0.2">
      <c r="B143" s="233" t="s">
        <v>323</v>
      </c>
      <c r="C143" s="234" t="s">
        <v>333</v>
      </c>
      <c r="D143" s="226" t="s">
        <v>57</v>
      </c>
      <c r="E143" s="224">
        <v>24</v>
      </c>
      <c r="F143" s="235"/>
      <c r="G143" s="225">
        <f>+ROUND((E143*F143),2)</f>
        <v>0</v>
      </c>
    </row>
    <row r="144" spans="2:7" ht="109.5" customHeight="1" x14ac:dyDescent="0.2">
      <c r="B144" s="233" t="s">
        <v>325</v>
      </c>
      <c r="C144" s="234" t="s">
        <v>324</v>
      </c>
      <c r="D144" s="226" t="s">
        <v>64</v>
      </c>
      <c r="E144" s="224">
        <v>11</v>
      </c>
      <c r="F144" s="235"/>
      <c r="G144" s="225">
        <f>+ROUND((E144*F144),2)</f>
        <v>0</v>
      </c>
    </row>
    <row r="145" spans="2:7" ht="109.5" customHeight="1" x14ac:dyDescent="0.2">
      <c r="B145" s="233" t="s">
        <v>334</v>
      </c>
      <c r="C145" s="234" t="s">
        <v>326</v>
      </c>
      <c r="D145" s="226" t="s">
        <v>64</v>
      </c>
      <c r="E145" s="224">
        <v>3</v>
      </c>
      <c r="F145" s="235"/>
      <c r="G145" s="225">
        <f>+ROUND((E145*F145),2)</f>
        <v>0</v>
      </c>
    </row>
    <row r="146" spans="2:7" ht="38.25" x14ac:dyDescent="0.2">
      <c r="B146" s="233" t="s">
        <v>327</v>
      </c>
      <c r="C146" s="234" t="s">
        <v>126</v>
      </c>
      <c r="D146" s="226"/>
      <c r="E146" s="224"/>
      <c r="F146" s="235"/>
      <c r="G146" s="225">
        <f>+ROUND((SUM(G142:G145)*0.1),-1)</f>
        <v>0</v>
      </c>
    </row>
    <row r="147" spans="2:7" x14ac:dyDescent="0.2">
      <c r="B147" s="233"/>
      <c r="C147" s="283" t="s">
        <v>328</v>
      </c>
      <c r="D147" s="226"/>
      <c r="E147" s="224"/>
      <c r="F147" s="235"/>
      <c r="G147" s="310">
        <f>SUM(G142:G146)</f>
        <v>0</v>
      </c>
    </row>
    <row r="148" spans="2:7" x14ac:dyDescent="0.2">
      <c r="C148" s="316"/>
      <c r="E148" s="272"/>
      <c r="F148" s="318"/>
      <c r="G148" s="273"/>
    </row>
    <row r="149" spans="2:7" x14ac:dyDescent="0.2">
      <c r="C149" s="316"/>
      <c r="E149" s="272"/>
      <c r="F149" s="318"/>
      <c r="G149" s="273"/>
    </row>
    <row r="150" spans="2:7" x14ac:dyDescent="0.2">
      <c r="C150" s="316"/>
      <c r="E150" s="272"/>
      <c r="F150" s="318"/>
      <c r="G150" s="273"/>
    </row>
    <row r="151" spans="2:7" x14ac:dyDescent="0.2">
      <c r="C151" s="316"/>
      <c r="D151" s="271"/>
      <c r="E151" s="319"/>
      <c r="F151" s="318"/>
      <c r="G151" s="273"/>
    </row>
    <row r="152" spans="2:7" x14ac:dyDescent="0.2">
      <c r="C152" s="316"/>
      <c r="E152" s="272"/>
      <c r="F152" s="318"/>
      <c r="G152" s="273"/>
    </row>
    <row r="153" spans="2:7" x14ac:dyDescent="0.2">
      <c r="C153" s="316"/>
      <c r="E153" s="272"/>
      <c r="F153" s="318"/>
      <c r="G153" s="273"/>
    </row>
    <row r="154" spans="2:7" x14ac:dyDescent="0.2">
      <c r="C154" s="272"/>
      <c r="D154" s="271"/>
      <c r="E154" s="272"/>
      <c r="F154" s="318"/>
      <c r="G154" s="273"/>
    </row>
    <row r="155" spans="2:7" x14ac:dyDescent="0.2">
      <c r="C155" s="273"/>
      <c r="E155" s="272"/>
      <c r="F155" s="318"/>
      <c r="G155" s="273"/>
    </row>
    <row r="156" spans="2:7" x14ac:dyDescent="0.2">
      <c r="D156" s="271"/>
      <c r="E156" s="272"/>
      <c r="F156" s="318"/>
      <c r="G156" s="273"/>
    </row>
    <row r="157" spans="2:7" x14ac:dyDescent="0.2">
      <c r="C157" s="316"/>
      <c r="E157" s="272"/>
      <c r="F157" s="318"/>
      <c r="G157" s="273"/>
    </row>
    <row r="158" spans="2:7" x14ac:dyDescent="0.2">
      <c r="C158" s="273"/>
      <c r="E158" s="272"/>
      <c r="F158" s="318"/>
      <c r="G158" s="273"/>
    </row>
    <row r="159" spans="2:7" x14ac:dyDescent="0.2">
      <c r="C159" s="316"/>
      <c r="E159" s="272"/>
      <c r="F159" s="318"/>
      <c r="G159" s="273"/>
    </row>
    <row r="160" spans="2:7" x14ac:dyDescent="0.2">
      <c r="C160" s="316"/>
      <c r="E160" s="272"/>
      <c r="F160" s="318"/>
      <c r="G160" s="273"/>
    </row>
    <row r="161" spans="3:7" x14ac:dyDescent="0.2">
      <c r="C161" s="273"/>
      <c r="D161" s="271"/>
      <c r="E161" s="272"/>
      <c r="F161" s="318"/>
      <c r="G161" s="273"/>
    </row>
    <row r="162" spans="3:7" x14ac:dyDescent="0.2">
      <c r="C162" s="316"/>
      <c r="E162" s="272"/>
      <c r="F162" s="318"/>
      <c r="G162" s="273"/>
    </row>
    <row r="164" spans="3:7" s="264" customFormat="1" x14ac:dyDescent="0.2"/>
    <row r="165" spans="3:7" x14ac:dyDescent="0.2">
      <c r="C165" s="316"/>
      <c r="E165" s="272"/>
      <c r="F165" s="318"/>
      <c r="G165" s="273"/>
    </row>
    <row r="166" spans="3:7" s="264" customFormat="1" x14ac:dyDescent="0.2"/>
    <row r="167" spans="3:7" s="264" customFormat="1" x14ac:dyDescent="0.2"/>
    <row r="168" spans="3:7" s="264" customFormat="1" x14ac:dyDescent="0.2"/>
    <row r="169" spans="3:7" s="264" customFormat="1" x14ac:dyDescent="0.2"/>
    <row r="170" spans="3:7" x14ac:dyDescent="0.2">
      <c r="D170" s="271"/>
      <c r="E170" s="272"/>
      <c r="F170" s="318"/>
      <c r="G170" s="273"/>
    </row>
  </sheetData>
  <sheetProtection algorithmName="SHA-512" hashValue="rs/D2njunPAlHw3hh2EQ4h7vIV6mhN7yItSgEYKmJJEXPNH4DoCeuMQ3gKGTnVkxGM5ELwynAjsIbPkXNJ0tIg==" saltValue="ALHow1zu7WnUWKcBD6eH7Q==" spinCount="100000" sheet="1" objects="1" scenarios="1"/>
  <mergeCells count="5">
    <mergeCell ref="B13:G13"/>
    <mergeCell ref="B14:G14"/>
    <mergeCell ref="B15:G15"/>
    <mergeCell ref="B16:G16"/>
    <mergeCell ref="B17:G17"/>
  </mergeCells>
  <conditionalFormatting sqref="F29 F31">
    <cfRule type="cellIs" dxfId="13" priority="2" operator="equal">
      <formula>0</formula>
    </cfRule>
  </conditionalFormatting>
  <conditionalFormatting sqref="F35:F37">
    <cfRule type="cellIs" dxfId="12" priority="3" operator="equal">
      <formula>0</formula>
    </cfRule>
  </conditionalFormatting>
  <conditionalFormatting sqref="F30">
    <cfRule type="cellIs" dxfId="11" priority="4" operator="equal">
      <formula>0</formula>
    </cfRule>
  </conditionalFormatting>
  <pageMargins left="0.98425196850393704" right="0.39370078740157483" top="0.78740157480314965" bottom="0.78740157480314965" header="0.51181102362204722" footer="0"/>
  <pageSetup paperSize="9" scale="91" firstPageNumber="0" orientation="portrait" horizontalDpi="300" verticalDpi="300" r:id="rId1"/>
  <headerFooter>
    <oddFooter>&amp;L&amp;A&amp;R&amp;9Stran &amp;P/&amp;N</oddFooter>
  </headerFooter>
  <rowBreaks count="1" manualBreakCount="1">
    <brk id="15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DEADA"/>
  </sheetPr>
  <dimension ref="A1:AMJ173"/>
  <sheetViews>
    <sheetView view="pageBreakPreview" topLeftCell="B1" zoomScale="120" zoomScaleNormal="100" zoomScalePageLayoutView="120" workbookViewId="0">
      <selection activeCell="F22" sqref="F22:F149"/>
    </sheetView>
  </sheetViews>
  <sheetFormatPr defaultColWidth="9.33203125" defaultRowHeight="12.75" x14ac:dyDescent="0.2"/>
  <cols>
    <col min="1" max="1" width="1.83203125" style="264" hidden="1" customWidth="1"/>
    <col min="2" max="2" width="7.1640625" style="269" customWidth="1"/>
    <col min="3" max="3" width="57.33203125" style="264" customWidth="1"/>
    <col min="4" max="4" width="6.6640625" style="317" customWidth="1"/>
    <col min="5" max="5" width="9.83203125" style="320" bestFit="1" customWidth="1"/>
    <col min="6" max="6" width="10.5" style="264" customWidth="1"/>
    <col min="7" max="7" width="16.5" style="264" customWidth="1"/>
    <col min="8" max="8" width="6.6640625" style="264" hidden="1" customWidth="1"/>
    <col min="9" max="9" width="18.5" style="264" hidden="1" customWidth="1"/>
    <col min="10" max="10" width="0" style="264" hidden="1" customWidth="1"/>
    <col min="11" max="1024" width="9.33203125" style="264"/>
    <col min="1025" max="16384" width="9.33203125" style="268"/>
  </cols>
  <sheetData>
    <row r="1" spans="2:10" x14ac:dyDescent="0.2">
      <c r="B1" s="265" t="s">
        <v>23</v>
      </c>
      <c r="C1" s="266" t="s">
        <v>335</v>
      </c>
      <c r="D1" s="267"/>
      <c r="E1" s="267"/>
      <c r="F1" s="267"/>
      <c r="G1" s="267"/>
    </row>
    <row r="2" spans="2:10" x14ac:dyDescent="0.2">
      <c r="B2" s="265"/>
      <c r="C2" s="266"/>
      <c r="D2" s="267"/>
      <c r="E2" s="267"/>
      <c r="F2" s="267"/>
      <c r="G2" s="267"/>
    </row>
    <row r="3" spans="2:10" x14ac:dyDescent="0.2">
      <c r="C3" s="270"/>
      <c r="D3" s="271"/>
      <c r="E3" s="272"/>
      <c r="F3" s="273"/>
    </row>
    <row r="4" spans="2:10" x14ac:dyDescent="0.2">
      <c r="B4" s="233" t="s">
        <v>71</v>
      </c>
      <c r="C4" s="274" t="s">
        <v>72</v>
      </c>
      <c r="D4" s="226"/>
      <c r="E4" s="275"/>
      <c r="F4" s="274"/>
      <c r="G4" s="276">
        <f>+G39</f>
        <v>0</v>
      </c>
      <c r="I4" s="277">
        <f t="shared" ref="I4:I9" si="0">+G4/E$22</f>
        <v>0</v>
      </c>
      <c r="J4" s="278" t="e">
        <f>+G4/G$10</f>
        <v>#DIV/0!</v>
      </c>
    </row>
    <row r="5" spans="2:10" x14ac:dyDescent="0.2">
      <c r="B5" s="233" t="s">
        <v>73</v>
      </c>
      <c r="C5" s="274" t="s">
        <v>74</v>
      </c>
      <c r="D5" s="279"/>
      <c r="E5" s="275"/>
      <c r="F5" s="274"/>
      <c r="G5" s="276">
        <f>G73</f>
        <v>0</v>
      </c>
      <c r="I5" s="277">
        <f t="shared" si="0"/>
        <v>0</v>
      </c>
      <c r="J5" s="278" t="e">
        <f t="shared" ref="J5:J9" si="1">+G5/G$10</f>
        <v>#DIV/0!</v>
      </c>
    </row>
    <row r="6" spans="2:10" x14ac:dyDescent="0.2">
      <c r="B6" s="233" t="s">
        <v>75</v>
      </c>
      <c r="C6" s="274" t="s">
        <v>76</v>
      </c>
      <c r="D6" s="226"/>
      <c r="E6" s="275"/>
      <c r="F6" s="274"/>
      <c r="G6" s="276">
        <f>+G83</f>
        <v>0</v>
      </c>
      <c r="I6" s="277">
        <f t="shared" si="0"/>
        <v>0</v>
      </c>
      <c r="J6" s="278" t="e">
        <f t="shared" si="1"/>
        <v>#DIV/0!</v>
      </c>
    </row>
    <row r="7" spans="2:10" x14ac:dyDescent="0.2">
      <c r="B7" s="233" t="s">
        <v>77</v>
      </c>
      <c r="C7" s="274" t="s">
        <v>78</v>
      </c>
      <c r="D7" s="226"/>
      <c r="E7" s="275"/>
      <c r="F7" s="274"/>
      <c r="G7" s="276">
        <f>+G109</f>
        <v>0</v>
      </c>
      <c r="I7" s="277">
        <f t="shared" si="0"/>
        <v>0</v>
      </c>
      <c r="J7" s="278" t="e">
        <f t="shared" si="1"/>
        <v>#DIV/0!</v>
      </c>
    </row>
    <row r="8" spans="2:10" x14ac:dyDescent="0.2">
      <c r="B8" s="233" t="s">
        <v>79</v>
      </c>
      <c r="C8" s="274" t="s">
        <v>80</v>
      </c>
      <c r="D8" s="226"/>
      <c r="E8" s="275"/>
      <c r="F8" s="274"/>
      <c r="G8" s="276">
        <f>+G143</f>
        <v>0</v>
      </c>
      <c r="I8" s="277">
        <f t="shared" si="0"/>
        <v>0</v>
      </c>
      <c r="J8" s="278" t="e">
        <f t="shared" si="1"/>
        <v>#DIV/0!</v>
      </c>
    </row>
    <row r="9" spans="2:10" x14ac:dyDescent="0.2">
      <c r="B9" s="233" t="s">
        <v>81</v>
      </c>
      <c r="C9" s="274" t="s">
        <v>82</v>
      </c>
      <c r="D9" s="226"/>
      <c r="E9" s="275"/>
      <c r="F9" s="274"/>
      <c r="G9" s="276">
        <f>+G150</f>
        <v>0</v>
      </c>
      <c r="I9" s="277">
        <f t="shared" si="0"/>
        <v>0</v>
      </c>
      <c r="J9" s="278" t="e">
        <f t="shared" si="1"/>
        <v>#DIV/0!</v>
      </c>
    </row>
    <row r="10" spans="2:10" x14ac:dyDescent="0.2">
      <c r="B10" s="233"/>
      <c r="C10" s="280" t="s">
        <v>31</v>
      </c>
      <c r="D10" s="281"/>
      <c r="E10" s="282"/>
      <c r="F10" s="283"/>
      <c r="G10" s="284">
        <f>SUM(G4:G9)</f>
        <v>0</v>
      </c>
      <c r="I10" s="285">
        <f>+G10/E$22</f>
        <v>0</v>
      </c>
      <c r="J10" s="286" t="e">
        <f>SUM(J4:J9)</f>
        <v>#DIV/0!</v>
      </c>
    </row>
    <row r="11" spans="2:10" x14ac:dyDescent="0.2">
      <c r="C11" s="287"/>
      <c r="D11" s="288"/>
      <c r="E11" s="289"/>
      <c r="F11" s="290"/>
      <c r="G11" s="291"/>
    </row>
    <row r="12" spans="2:10" x14ac:dyDescent="0.2">
      <c r="B12" s="292" t="s">
        <v>83</v>
      </c>
      <c r="C12" s="293"/>
      <c r="D12" s="294"/>
      <c r="E12" s="295"/>
      <c r="F12" s="296"/>
      <c r="G12" s="297"/>
    </row>
    <row r="13" spans="2:10" ht="70.7" customHeight="1" x14ac:dyDescent="0.2">
      <c r="B13" s="326" t="s">
        <v>84</v>
      </c>
      <c r="C13" s="326"/>
      <c r="D13" s="326"/>
      <c r="E13" s="326"/>
      <c r="F13" s="326"/>
      <c r="G13" s="326"/>
    </row>
    <row r="14" spans="2:10" ht="103.5" customHeight="1" x14ac:dyDescent="0.2">
      <c r="B14" s="326" t="s">
        <v>85</v>
      </c>
      <c r="C14" s="326"/>
      <c r="D14" s="326"/>
      <c r="E14" s="326"/>
      <c r="F14" s="326"/>
      <c r="G14" s="326"/>
    </row>
    <row r="15" spans="2:10" ht="53.25" customHeight="1" x14ac:dyDescent="0.2">
      <c r="B15" s="326" t="s">
        <v>86</v>
      </c>
      <c r="C15" s="326"/>
      <c r="D15" s="326"/>
      <c r="E15" s="326"/>
      <c r="F15" s="326"/>
      <c r="G15" s="326"/>
    </row>
    <row r="16" spans="2:10" ht="110.25" customHeight="1" x14ac:dyDescent="0.2">
      <c r="B16" s="326" t="s">
        <v>87</v>
      </c>
      <c r="C16" s="326"/>
      <c r="D16" s="326"/>
      <c r="E16" s="326"/>
      <c r="F16" s="326"/>
      <c r="G16" s="326"/>
    </row>
    <row r="17" spans="2:7" ht="37.5" customHeight="1" x14ac:dyDescent="0.2">
      <c r="B17" s="326" t="s">
        <v>88</v>
      </c>
      <c r="C17" s="326"/>
      <c r="D17" s="326"/>
      <c r="E17" s="326"/>
      <c r="F17" s="326"/>
      <c r="G17" s="326"/>
    </row>
    <row r="18" spans="2:7" x14ac:dyDescent="0.2">
      <c r="B18" s="298"/>
      <c r="C18" s="298"/>
      <c r="D18" s="298"/>
      <c r="E18" s="298"/>
      <c r="F18" s="298"/>
      <c r="G18" s="298"/>
    </row>
    <row r="19" spans="2:7" ht="25.5" x14ac:dyDescent="0.2">
      <c r="B19" s="299" t="s">
        <v>36</v>
      </c>
      <c r="C19" s="300" t="s">
        <v>37</v>
      </c>
      <c r="D19" s="299" t="s">
        <v>38</v>
      </c>
      <c r="E19" s="299" t="s">
        <v>39</v>
      </c>
      <c r="F19" s="299" t="s">
        <v>40</v>
      </c>
      <c r="G19" s="299" t="s">
        <v>41</v>
      </c>
    </row>
    <row r="20" spans="2:7" x14ac:dyDescent="0.2">
      <c r="B20" s="301" t="s">
        <v>71</v>
      </c>
      <c r="C20" s="283" t="s">
        <v>72</v>
      </c>
      <c r="D20" s="226"/>
      <c r="E20" s="275"/>
      <c r="F20" s="274"/>
      <c r="G20" s="274"/>
    </row>
    <row r="21" spans="2:7" x14ac:dyDescent="0.2">
      <c r="B21" s="233" t="s">
        <v>89</v>
      </c>
      <c r="C21" s="274" t="s">
        <v>90</v>
      </c>
      <c r="D21" s="226"/>
      <c r="E21" s="275"/>
      <c r="F21" s="274"/>
      <c r="G21" s="274"/>
    </row>
    <row r="22" spans="2:7" ht="51" x14ac:dyDescent="0.2">
      <c r="B22" s="233" t="s">
        <v>91</v>
      </c>
      <c r="C22" s="302" t="s">
        <v>92</v>
      </c>
      <c r="D22" s="223" t="s">
        <v>57</v>
      </c>
      <c r="E22" s="224">
        <v>383</v>
      </c>
      <c r="F22" s="235"/>
      <c r="G22" s="225">
        <f t="shared" ref="G22:G27" si="2">+ROUND((E22*F22),2)</f>
        <v>0</v>
      </c>
    </row>
    <row r="23" spans="2:7" ht="38.25" x14ac:dyDescent="0.2">
      <c r="B23" s="233" t="s">
        <v>93</v>
      </c>
      <c r="C23" s="222" t="s">
        <v>94</v>
      </c>
      <c r="D23" s="223" t="s">
        <v>95</v>
      </c>
      <c r="E23" s="224">
        <v>12</v>
      </c>
      <c r="F23" s="235"/>
      <c r="G23" s="225">
        <f t="shared" si="2"/>
        <v>0</v>
      </c>
    </row>
    <row r="24" spans="2:7" ht="25.5" hidden="1" x14ac:dyDescent="0.2">
      <c r="B24" s="233" t="s">
        <v>96</v>
      </c>
      <c r="C24" s="302" t="s">
        <v>97</v>
      </c>
      <c r="D24" s="223" t="s">
        <v>57</v>
      </c>
      <c r="E24" s="224"/>
      <c r="F24" s="235"/>
      <c r="G24" s="225">
        <f t="shared" si="2"/>
        <v>0</v>
      </c>
    </row>
    <row r="25" spans="2:7" ht="25.5" hidden="1" x14ac:dyDescent="0.2">
      <c r="B25" s="233" t="s">
        <v>98</v>
      </c>
      <c r="C25" s="302" t="s">
        <v>99</v>
      </c>
      <c r="D25" s="223" t="s">
        <v>64</v>
      </c>
      <c r="E25" s="303"/>
      <c r="F25" s="235"/>
      <c r="G25" s="225">
        <f t="shared" si="2"/>
        <v>0</v>
      </c>
    </row>
    <row r="26" spans="2:7" ht="63.75" x14ac:dyDescent="0.2">
      <c r="B26" s="233" t="s">
        <v>100</v>
      </c>
      <c r="C26" s="222" t="s">
        <v>101</v>
      </c>
      <c r="D26" s="226" t="s">
        <v>57</v>
      </c>
      <c r="E26" s="224">
        <f>+E22</f>
        <v>383</v>
      </c>
      <c r="F26" s="235"/>
      <c r="G26" s="225">
        <f t="shared" si="2"/>
        <v>0</v>
      </c>
    </row>
    <row r="27" spans="2:7" ht="51" x14ac:dyDescent="0.2">
      <c r="B27" s="233" t="s">
        <v>102</v>
      </c>
      <c r="C27" s="304" t="s">
        <v>103</v>
      </c>
      <c r="D27" s="226" t="s">
        <v>57</v>
      </c>
      <c r="E27" s="224">
        <f>+E22</f>
        <v>383</v>
      </c>
      <c r="F27" s="235"/>
      <c r="G27" s="225">
        <f t="shared" si="2"/>
        <v>0</v>
      </c>
    </row>
    <row r="28" spans="2:7" x14ac:dyDescent="0.2">
      <c r="B28" s="233" t="s">
        <v>104</v>
      </c>
      <c r="C28" s="305" t="s">
        <v>105</v>
      </c>
      <c r="D28" s="226"/>
      <c r="E28" s="224"/>
      <c r="F28" s="235"/>
      <c r="G28" s="225"/>
    </row>
    <row r="29" spans="2:7" ht="38.25" x14ac:dyDescent="0.2">
      <c r="B29" s="233" t="s">
        <v>106</v>
      </c>
      <c r="C29" s="306" t="s">
        <v>107</v>
      </c>
      <c r="D29" s="307" t="s">
        <v>57</v>
      </c>
      <c r="E29" s="308">
        <f>+E22</f>
        <v>383</v>
      </c>
      <c r="F29" s="235"/>
      <c r="G29" s="225">
        <f>E29*F29</f>
        <v>0</v>
      </c>
    </row>
    <row r="30" spans="2:7" ht="89.25" hidden="1" x14ac:dyDescent="0.2">
      <c r="B30" s="233" t="s">
        <v>108</v>
      </c>
      <c r="C30" s="306" t="s">
        <v>336</v>
      </c>
      <c r="D30" s="307" t="s">
        <v>57</v>
      </c>
      <c r="E30" s="308"/>
      <c r="F30" s="235"/>
      <c r="G30" s="225">
        <f>E30*F30</f>
        <v>0</v>
      </c>
    </row>
    <row r="31" spans="2:7" ht="63.75" hidden="1" x14ac:dyDescent="0.2">
      <c r="B31" s="233" t="s">
        <v>110</v>
      </c>
      <c r="C31" s="306" t="s">
        <v>111</v>
      </c>
      <c r="D31" s="307" t="s">
        <v>57</v>
      </c>
      <c r="E31" s="308"/>
      <c r="F31" s="235"/>
      <c r="G31" s="225">
        <f>E31*F31</f>
        <v>0</v>
      </c>
    </row>
    <row r="32" spans="2:7" ht="63.75" x14ac:dyDescent="0.2">
      <c r="B32" s="233" t="s">
        <v>112</v>
      </c>
      <c r="C32" s="309" t="s">
        <v>113</v>
      </c>
      <c r="D32" s="307" t="s">
        <v>64</v>
      </c>
      <c r="E32" s="308">
        <v>1</v>
      </c>
      <c r="F32" s="235"/>
      <c r="G32" s="225">
        <f>E32*F32</f>
        <v>0</v>
      </c>
    </row>
    <row r="33" spans="2:8" ht="38.25" x14ac:dyDescent="0.2">
      <c r="B33" s="233" t="s">
        <v>114</v>
      </c>
      <c r="C33" s="234" t="s">
        <v>115</v>
      </c>
      <c r="D33" s="226" t="s">
        <v>46</v>
      </c>
      <c r="E33" s="224">
        <v>1</v>
      </c>
      <c r="F33" s="235"/>
      <c r="G33" s="225">
        <f>E33*F33</f>
        <v>0</v>
      </c>
    </row>
    <row r="34" spans="2:8" x14ac:dyDescent="0.2">
      <c r="B34" s="233" t="s">
        <v>116</v>
      </c>
      <c r="C34" s="234" t="s">
        <v>117</v>
      </c>
      <c r="D34" s="226"/>
      <c r="E34" s="224"/>
      <c r="F34" s="235"/>
      <c r="G34" s="225"/>
    </row>
    <row r="35" spans="2:8" ht="25.5" x14ac:dyDescent="0.2">
      <c r="B35" s="233" t="s">
        <v>118</v>
      </c>
      <c r="C35" s="306" t="s">
        <v>119</v>
      </c>
      <c r="D35" s="307" t="s">
        <v>120</v>
      </c>
      <c r="E35" s="308">
        <v>15</v>
      </c>
      <c r="F35" s="235"/>
      <c r="G35" s="225">
        <f>E35*F35</f>
        <v>0</v>
      </c>
      <c r="H35" s="264" t="s">
        <v>330</v>
      </c>
    </row>
    <row r="36" spans="2:8" ht="25.5" x14ac:dyDescent="0.2">
      <c r="B36" s="233" t="s">
        <v>121</v>
      </c>
      <c r="C36" s="306" t="s">
        <v>122</v>
      </c>
      <c r="D36" s="307" t="s">
        <v>120</v>
      </c>
      <c r="E36" s="308">
        <v>5</v>
      </c>
      <c r="F36" s="235"/>
      <c r="G36" s="225">
        <f>E36*F36</f>
        <v>0</v>
      </c>
    </row>
    <row r="37" spans="2:8" ht="38.25" x14ac:dyDescent="0.2">
      <c r="B37" s="233" t="s">
        <v>123</v>
      </c>
      <c r="C37" s="234" t="s">
        <v>124</v>
      </c>
      <c r="D37" s="307" t="s">
        <v>120</v>
      </c>
      <c r="E37" s="308">
        <v>20</v>
      </c>
      <c r="F37" s="235"/>
      <c r="G37" s="225">
        <f>E37*F37</f>
        <v>0</v>
      </c>
      <c r="H37" s="264" t="s">
        <v>331</v>
      </c>
    </row>
    <row r="38" spans="2:8" ht="38.25" x14ac:dyDescent="0.2">
      <c r="B38" s="233" t="s">
        <v>125</v>
      </c>
      <c r="C38" s="234" t="s">
        <v>126</v>
      </c>
      <c r="D38" s="226"/>
      <c r="E38" s="224"/>
      <c r="F38" s="235"/>
      <c r="G38" s="225">
        <f>+ROUND((SUM(G22:G37)*0.1),-1)</f>
        <v>0</v>
      </c>
    </row>
    <row r="39" spans="2:8" x14ac:dyDescent="0.2">
      <c r="B39" s="233"/>
      <c r="C39" s="283" t="s">
        <v>127</v>
      </c>
      <c r="D39" s="226"/>
      <c r="E39" s="224"/>
      <c r="F39" s="235"/>
      <c r="G39" s="310">
        <f>SUM(G22:G38)</f>
        <v>0</v>
      </c>
    </row>
    <row r="40" spans="2:8" x14ac:dyDescent="0.2">
      <c r="B40" s="301" t="s">
        <v>73</v>
      </c>
      <c r="C40" s="283" t="s">
        <v>74</v>
      </c>
      <c r="D40" s="226"/>
      <c r="E40" s="275"/>
      <c r="F40" s="329"/>
      <c r="G40" s="274"/>
    </row>
    <row r="41" spans="2:8" x14ac:dyDescent="0.2">
      <c r="B41" s="233" t="s">
        <v>128</v>
      </c>
      <c r="C41" s="274" t="s">
        <v>129</v>
      </c>
      <c r="D41" s="226"/>
      <c r="E41" s="275"/>
      <c r="F41" s="329"/>
      <c r="G41" s="274"/>
    </row>
    <row r="42" spans="2:8" ht="63.75" x14ac:dyDescent="0.2">
      <c r="B42" s="233" t="s">
        <v>130</v>
      </c>
      <c r="C42" s="311" t="s">
        <v>131</v>
      </c>
      <c r="D42" s="223" t="s">
        <v>132</v>
      </c>
      <c r="E42" s="224">
        <f>2.5*(190+30)*0.25</f>
        <v>137.5</v>
      </c>
      <c r="F42" s="235"/>
      <c r="G42" s="225">
        <f t="shared" ref="G42:G50" si="3">+ROUND((E42*F42),2)</f>
        <v>0</v>
      </c>
      <c r="H42" s="264" t="s">
        <v>133</v>
      </c>
    </row>
    <row r="43" spans="2:8" ht="51" x14ac:dyDescent="0.2">
      <c r="B43" s="233" t="s">
        <v>134</v>
      </c>
      <c r="C43" s="234" t="s">
        <v>135</v>
      </c>
      <c r="D43" s="226" t="s">
        <v>136</v>
      </c>
      <c r="E43" s="224">
        <v>10</v>
      </c>
      <c r="F43" s="235"/>
      <c r="G43" s="225">
        <f t="shared" si="3"/>
        <v>0</v>
      </c>
    </row>
    <row r="44" spans="2:8" ht="51" hidden="1" x14ac:dyDescent="0.2">
      <c r="B44" s="233" t="s">
        <v>137</v>
      </c>
      <c r="C44" s="234" t="s">
        <v>138</v>
      </c>
      <c r="D44" s="226" t="s">
        <v>136</v>
      </c>
      <c r="E44" s="224"/>
      <c r="F44" s="235"/>
      <c r="G44" s="225">
        <f t="shared" si="3"/>
        <v>0</v>
      </c>
    </row>
    <row r="45" spans="2:8" ht="63.75" hidden="1" x14ac:dyDescent="0.2">
      <c r="B45" s="233" t="s">
        <v>139</v>
      </c>
      <c r="C45" s="234" t="s">
        <v>140</v>
      </c>
      <c r="D45" s="226" t="s">
        <v>136</v>
      </c>
      <c r="E45" s="224"/>
      <c r="F45" s="235"/>
      <c r="G45" s="225">
        <f t="shared" si="3"/>
        <v>0</v>
      </c>
    </row>
    <row r="46" spans="2:8" ht="25.5" x14ac:dyDescent="0.2">
      <c r="B46" s="233" t="s">
        <v>141</v>
      </c>
      <c r="C46" s="302" t="s">
        <v>142</v>
      </c>
      <c r="D46" s="223" t="s">
        <v>57</v>
      </c>
      <c r="E46" s="224">
        <v>6</v>
      </c>
      <c r="F46" s="235"/>
      <c r="G46" s="225">
        <f t="shared" si="3"/>
        <v>0</v>
      </c>
    </row>
    <row r="47" spans="2:8" ht="25.5" hidden="1" x14ac:dyDescent="0.2">
      <c r="B47" s="233" t="s">
        <v>143</v>
      </c>
      <c r="C47" s="302" t="s">
        <v>144</v>
      </c>
      <c r="D47" s="223" t="s">
        <v>57</v>
      </c>
      <c r="E47" s="224"/>
      <c r="F47" s="235"/>
      <c r="G47" s="225">
        <f t="shared" si="3"/>
        <v>0</v>
      </c>
    </row>
    <row r="48" spans="2:8" ht="63.75" hidden="1" x14ac:dyDescent="0.2">
      <c r="B48" s="233" t="s">
        <v>145</v>
      </c>
      <c r="C48" s="311" t="s">
        <v>146</v>
      </c>
      <c r="D48" s="223" t="s">
        <v>132</v>
      </c>
      <c r="E48" s="224"/>
      <c r="F48" s="235"/>
      <c r="G48" s="225">
        <f t="shared" si="3"/>
        <v>0</v>
      </c>
    </row>
    <row r="49" spans="2:8" ht="44.25" hidden="1" customHeight="1" x14ac:dyDescent="0.2">
      <c r="B49" s="233" t="s">
        <v>147</v>
      </c>
      <c r="C49" s="234" t="s">
        <v>148</v>
      </c>
      <c r="D49" s="226" t="s">
        <v>57</v>
      </c>
      <c r="E49" s="224"/>
      <c r="F49" s="235"/>
      <c r="G49" s="225">
        <f t="shared" si="3"/>
        <v>0</v>
      </c>
      <c r="H49" s="264" t="s">
        <v>149</v>
      </c>
    </row>
    <row r="50" spans="2:8" ht="63.75" x14ac:dyDescent="0.2">
      <c r="B50" s="233" t="s">
        <v>150</v>
      </c>
      <c r="C50" s="234" t="s">
        <v>151</v>
      </c>
      <c r="D50" s="226" t="s">
        <v>132</v>
      </c>
      <c r="E50" s="224">
        <f>290*(3-1.7)*0.6</f>
        <v>226.2</v>
      </c>
      <c r="F50" s="235"/>
      <c r="G50" s="225">
        <f t="shared" si="3"/>
        <v>0</v>
      </c>
      <c r="H50" s="264" t="s">
        <v>152</v>
      </c>
    </row>
    <row r="51" spans="2:8" x14ac:dyDescent="0.2">
      <c r="B51" s="233" t="s">
        <v>153</v>
      </c>
      <c r="C51" s="274" t="s">
        <v>154</v>
      </c>
      <c r="D51" s="226"/>
      <c r="E51" s="224"/>
      <c r="F51" s="235"/>
      <c r="G51" s="225"/>
    </row>
    <row r="52" spans="2:8" ht="38.25" x14ac:dyDescent="0.2">
      <c r="B52" s="233" t="s">
        <v>155</v>
      </c>
      <c r="C52" s="234" t="s">
        <v>156</v>
      </c>
      <c r="D52" s="226" t="s">
        <v>136</v>
      </c>
      <c r="E52" s="315">
        <f>280*4</f>
        <v>1120</v>
      </c>
      <c r="F52" s="235"/>
      <c r="G52" s="225">
        <f t="shared" ref="G52:G67" si="4">+ROUND((E52*F52),2)</f>
        <v>0</v>
      </c>
      <c r="H52" s="264" t="s">
        <v>152</v>
      </c>
    </row>
    <row r="53" spans="2:8" ht="51" x14ac:dyDescent="0.2">
      <c r="B53" s="233" t="s">
        <v>157</v>
      </c>
      <c r="C53" s="234" t="s">
        <v>158</v>
      </c>
      <c r="D53" s="226" t="s">
        <v>132</v>
      </c>
      <c r="E53" s="224">
        <f>290*3*0.4</f>
        <v>348</v>
      </c>
      <c r="F53" s="235"/>
      <c r="G53" s="225">
        <f t="shared" si="4"/>
        <v>0</v>
      </c>
    </row>
    <row r="54" spans="2:8" ht="25.5" x14ac:dyDescent="0.2">
      <c r="B54" s="233" t="s">
        <v>159</v>
      </c>
      <c r="C54" s="234" t="s">
        <v>160</v>
      </c>
      <c r="D54" s="226" t="s">
        <v>136</v>
      </c>
      <c r="E54" s="224">
        <f>290*3</f>
        <v>870</v>
      </c>
      <c r="F54" s="235"/>
      <c r="G54" s="225">
        <f t="shared" si="4"/>
        <v>0</v>
      </c>
    </row>
    <row r="55" spans="2:8" ht="51" x14ac:dyDescent="0.2">
      <c r="B55" s="233" t="s">
        <v>161</v>
      </c>
      <c r="C55" s="234" t="s">
        <v>337</v>
      </c>
      <c r="D55" s="226" t="s">
        <v>132</v>
      </c>
      <c r="E55" s="224">
        <f>290*3*0.2</f>
        <v>174</v>
      </c>
      <c r="F55" s="235"/>
      <c r="G55" s="225">
        <f t="shared" si="4"/>
        <v>0</v>
      </c>
    </row>
    <row r="56" spans="2:8" ht="38.25" x14ac:dyDescent="0.2">
      <c r="B56" s="233" t="s">
        <v>163</v>
      </c>
      <c r="C56" s="234" t="s">
        <v>164</v>
      </c>
      <c r="D56" s="226" t="s">
        <v>46</v>
      </c>
      <c r="E56" s="224">
        <v>1</v>
      </c>
      <c r="F56" s="235"/>
      <c r="G56" s="225">
        <f t="shared" si="4"/>
        <v>0</v>
      </c>
    </row>
    <row r="57" spans="2:8" ht="25.5" x14ac:dyDescent="0.2">
      <c r="B57" s="233" t="s">
        <v>165</v>
      </c>
      <c r="C57" s="234" t="s">
        <v>166</v>
      </c>
      <c r="D57" s="226" t="s">
        <v>136</v>
      </c>
      <c r="E57" s="224">
        <f>+E43+E44</f>
        <v>10</v>
      </c>
      <c r="F57" s="235"/>
      <c r="G57" s="225">
        <f t="shared" si="4"/>
        <v>0</v>
      </c>
    </row>
    <row r="58" spans="2:8" ht="25.5" x14ac:dyDescent="0.2">
      <c r="B58" s="233" t="s">
        <v>167</v>
      </c>
      <c r="C58" s="234" t="s">
        <v>168</v>
      </c>
      <c r="D58" s="226" t="s">
        <v>136</v>
      </c>
      <c r="E58" s="224">
        <f>+E43+E44</f>
        <v>10</v>
      </c>
      <c r="F58" s="235"/>
      <c r="G58" s="225">
        <f t="shared" si="4"/>
        <v>0</v>
      </c>
    </row>
    <row r="59" spans="2:8" ht="51" x14ac:dyDescent="0.2">
      <c r="B59" s="233" t="s">
        <v>169</v>
      </c>
      <c r="C59" s="234" t="s">
        <v>170</v>
      </c>
      <c r="D59" s="226" t="s">
        <v>171</v>
      </c>
      <c r="E59" s="224">
        <f>E46+E47</f>
        <v>6</v>
      </c>
      <c r="F59" s="235"/>
      <c r="G59" s="225">
        <f t="shared" si="4"/>
        <v>0</v>
      </c>
    </row>
    <row r="60" spans="2:8" ht="38.25" x14ac:dyDescent="0.2">
      <c r="B60" s="233" t="s">
        <v>172</v>
      </c>
      <c r="C60" s="234" t="s">
        <v>173</v>
      </c>
      <c r="D60" s="226" t="s">
        <v>136</v>
      </c>
      <c r="E60" s="224">
        <f>E43</f>
        <v>10</v>
      </c>
      <c r="F60" s="235"/>
      <c r="G60" s="225">
        <f t="shared" si="4"/>
        <v>0</v>
      </c>
      <c r="H60" s="264" t="s">
        <v>174</v>
      </c>
    </row>
    <row r="61" spans="2:8" ht="38.25" x14ac:dyDescent="0.2">
      <c r="B61" s="233" t="s">
        <v>175</v>
      </c>
      <c r="C61" s="234" t="s">
        <v>176</v>
      </c>
      <c r="D61" s="226" t="s">
        <v>136</v>
      </c>
      <c r="E61" s="224">
        <f>E43</f>
        <v>10</v>
      </c>
      <c r="F61" s="235"/>
      <c r="G61" s="225">
        <f t="shared" si="4"/>
        <v>0</v>
      </c>
      <c r="H61" s="264" t="s">
        <v>174</v>
      </c>
    </row>
    <row r="62" spans="2:8" ht="38.25" hidden="1" x14ac:dyDescent="0.2">
      <c r="B62" s="233" t="s">
        <v>177</v>
      </c>
      <c r="C62" s="234" t="s">
        <v>178</v>
      </c>
      <c r="D62" s="226" t="s">
        <v>136</v>
      </c>
      <c r="E62" s="224"/>
      <c r="F62" s="235"/>
      <c r="G62" s="225">
        <f t="shared" si="4"/>
        <v>0</v>
      </c>
      <c r="H62" s="264" t="s">
        <v>179</v>
      </c>
    </row>
    <row r="63" spans="2:8" ht="38.25" hidden="1" x14ac:dyDescent="0.2">
      <c r="B63" s="233" t="s">
        <v>180</v>
      </c>
      <c r="C63" s="234" t="s">
        <v>181</v>
      </c>
      <c r="D63" s="226" t="s">
        <v>136</v>
      </c>
      <c r="E63" s="224"/>
      <c r="F63" s="235"/>
      <c r="G63" s="225">
        <f t="shared" si="4"/>
        <v>0</v>
      </c>
      <c r="H63" s="264" t="s">
        <v>179</v>
      </c>
    </row>
    <row r="64" spans="2:8" ht="38.25" hidden="1" x14ac:dyDescent="0.2">
      <c r="B64" s="233" t="s">
        <v>182</v>
      </c>
      <c r="C64" s="234" t="s">
        <v>183</v>
      </c>
      <c r="D64" s="226" t="s">
        <v>136</v>
      </c>
      <c r="E64" s="224"/>
      <c r="F64" s="235"/>
      <c r="G64" s="225">
        <f t="shared" si="4"/>
        <v>0</v>
      </c>
      <c r="H64" s="264" t="s">
        <v>179</v>
      </c>
    </row>
    <row r="65" spans="2:8" ht="25.5" hidden="1" x14ac:dyDescent="0.2">
      <c r="B65" s="233" t="s">
        <v>184</v>
      </c>
      <c r="C65" s="234" t="s">
        <v>185</v>
      </c>
      <c r="D65" s="226" t="s">
        <v>57</v>
      </c>
      <c r="E65" s="224"/>
      <c r="F65" s="235"/>
      <c r="G65" s="225">
        <f t="shared" si="4"/>
        <v>0</v>
      </c>
    </row>
    <row r="66" spans="2:8" ht="25.5" hidden="1" x14ac:dyDescent="0.2">
      <c r="B66" s="233" t="s">
        <v>186</v>
      </c>
      <c r="C66" s="234" t="s">
        <v>187</v>
      </c>
      <c r="D66" s="226" t="s">
        <v>57</v>
      </c>
      <c r="E66" s="224"/>
      <c r="F66" s="235"/>
      <c r="G66" s="225">
        <f t="shared" si="4"/>
        <v>0</v>
      </c>
    </row>
    <row r="67" spans="2:8" x14ac:dyDescent="0.2">
      <c r="B67" s="233" t="s">
        <v>188</v>
      </c>
      <c r="C67" s="234" t="s">
        <v>189</v>
      </c>
      <c r="D67" s="226" t="s">
        <v>57</v>
      </c>
      <c r="E67" s="224">
        <v>6</v>
      </c>
      <c r="F67" s="235"/>
      <c r="G67" s="225">
        <f t="shared" si="4"/>
        <v>0</v>
      </c>
    </row>
    <row r="68" spans="2:8" ht="25.5" hidden="1" x14ac:dyDescent="0.2">
      <c r="B68" s="233" t="s">
        <v>190</v>
      </c>
      <c r="C68" s="234" t="s">
        <v>191</v>
      </c>
      <c r="D68" s="226" t="s">
        <v>57</v>
      </c>
      <c r="E68" s="224"/>
      <c r="F68" s="235"/>
      <c r="G68" s="313">
        <f>+E68*F68</f>
        <v>0</v>
      </c>
    </row>
    <row r="69" spans="2:8" ht="44.25" hidden="1" customHeight="1" x14ac:dyDescent="0.2">
      <c r="B69" s="233" t="s">
        <v>192</v>
      </c>
      <c r="C69" s="234" t="s">
        <v>193</v>
      </c>
      <c r="D69" s="226" t="s">
        <v>64</v>
      </c>
      <c r="E69" s="224"/>
      <c r="F69" s="235"/>
      <c r="G69" s="313">
        <f>+E69*F69</f>
        <v>0</v>
      </c>
    </row>
    <row r="70" spans="2:8" ht="63.75" hidden="1" x14ac:dyDescent="0.2">
      <c r="B70" s="233" t="s">
        <v>194</v>
      </c>
      <c r="C70" s="234" t="s">
        <v>195</v>
      </c>
      <c r="D70" s="226" t="s">
        <v>57</v>
      </c>
      <c r="E70" s="224"/>
      <c r="F70" s="235"/>
      <c r="G70" s="225">
        <f>+ROUND((E70*F70),2)</f>
        <v>0</v>
      </c>
    </row>
    <row r="71" spans="2:8" ht="63.75" hidden="1" x14ac:dyDescent="0.2">
      <c r="B71" s="233" t="s">
        <v>196</v>
      </c>
      <c r="C71" s="234" t="s">
        <v>197</v>
      </c>
      <c r="D71" s="226" t="s">
        <v>57</v>
      </c>
      <c r="E71" s="224"/>
      <c r="F71" s="235"/>
      <c r="G71" s="225">
        <f>+ROUND((E71*F71),2)</f>
        <v>0</v>
      </c>
    </row>
    <row r="72" spans="2:8" ht="38.25" x14ac:dyDescent="0.2">
      <c r="B72" s="233" t="s">
        <v>198</v>
      </c>
      <c r="C72" s="234" t="s">
        <v>126</v>
      </c>
      <c r="D72" s="226"/>
      <c r="E72" s="224"/>
      <c r="F72" s="235"/>
      <c r="G72" s="225">
        <f>+ROUND((SUM(G42:G70)*0.1),-1)</f>
        <v>0</v>
      </c>
    </row>
    <row r="73" spans="2:8" x14ac:dyDescent="0.2">
      <c r="B73" s="233"/>
      <c r="C73" s="283" t="s">
        <v>199</v>
      </c>
      <c r="D73" s="226"/>
      <c r="E73" s="224"/>
      <c r="F73" s="235"/>
      <c r="G73" s="310">
        <f>SUM(G42:G72)</f>
        <v>0</v>
      </c>
    </row>
    <row r="74" spans="2:8" x14ac:dyDescent="0.2">
      <c r="B74" s="301" t="s">
        <v>75</v>
      </c>
      <c r="C74" s="283" t="s">
        <v>76</v>
      </c>
      <c r="D74" s="226"/>
      <c r="E74" s="224"/>
      <c r="F74" s="235"/>
      <c r="G74" s="225"/>
      <c r="H74" s="314"/>
    </row>
    <row r="75" spans="2:8" x14ac:dyDescent="0.2">
      <c r="B75" s="233" t="s">
        <v>200</v>
      </c>
      <c r="C75" s="234" t="s">
        <v>129</v>
      </c>
      <c r="D75" s="226"/>
      <c r="E75" s="224"/>
      <c r="F75" s="235"/>
      <c r="G75" s="225"/>
      <c r="H75" s="314"/>
    </row>
    <row r="76" spans="2:8" ht="38.25" hidden="1" x14ac:dyDescent="0.2">
      <c r="B76" s="233" t="s">
        <v>201</v>
      </c>
      <c r="C76" s="234" t="s">
        <v>202</v>
      </c>
      <c r="D76" s="226" t="s">
        <v>57</v>
      </c>
      <c r="E76" s="224"/>
      <c r="F76" s="235"/>
      <c r="G76" s="225">
        <f>+ROUND((E76*F76),2)</f>
        <v>0</v>
      </c>
      <c r="H76" s="314"/>
    </row>
    <row r="77" spans="2:8" ht="38.25" x14ac:dyDescent="0.2">
      <c r="B77" s="233" t="s">
        <v>203</v>
      </c>
      <c r="C77" s="234" t="s">
        <v>204</v>
      </c>
      <c r="D77" s="226" t="s">
        <v>64</v>
      </c>
      <c r="E77" s="224">
        <v>3</v>
      </c>
      <c r="F77" s="235"/>
      <c r="G77" s="225">
        <f>+ROUND((E77*F77),2)</f>
        <v>0</v>
      </c>
      <c r="H77" s="314"/>
    </row>
    <row r="78" spans="2:8" ht="38.25" x14ac:dyDescent="0.2">
      <c r="B78" s="233" t="s">
        <v>338</v>
      </c>
      <c r="C78" s="234" t="s">
        <v>339</v>
      </c>
      <c r="D78" s="226" t="s">
        <v>132</v>
      </c>
      <c r="E78" s="224">
        <f>3*60*0.2</f>
        <v>36</v>
      </c>
      <c r="F78" s="235"/>
      <c r="G78" s="225">
        <f>+ROUND((E78*F78),2)</f>
        <v>0</v>
      </c>
      <c r="H78" s="314"/>
    </row>
    <row r="79" spans="2:8" x14ac:dyDescent="0.2">
      <c r="B79" s="233" t="s">
        <v>205</v>
      </c>
      <c r="C79" s="234" t="s">
        <v>206</v>
      </c>
      <c r="D79" s="226"/>
      <c r="E79" s="224"/>
      <c r="F79" s="235"/>
      <c r="G79" s="225"/>
      <c r="H79" s="314"/>
    </row>
    <row r="80" spans="2:8" ht="51" x14ac:dyDescent="0.2">
      <c r="B80" s="233" t="s">
        <v>207</v>
      </c>
      <c r="C80" s="234" t="s">
        <v>208</v>
      </c>
      <c r="D80" s="226" t="s">
        <v>57</v>
      </c>
      <c r="E80" s="224">
        <v>3</v>
      </c>
      <c r="F80" s="235"/>
      <c r="G80" s="225">
        <f>+ROUND((E80*F80),2)</f>
        <v>0</v>
      </c>
      <c r="H80" s="314"/>
    </row>
    <row r="81" spans="2:10" ht="63.75" x14ac:dyDescent="0.2">
      <c r="B81" s="233" t="s">
        <v>340</v>
      </c>
      <c r="C81" s="234" t="s">
        <v>341</v>
      </c>
      <c r="D81" s="226" t="s">
        <v>136</v>
      </c>
      <c r="E81" s="224">
        <f>3*60</f>
        <v>180</v>
      </c>
      <c r="F81" s="235"/>
      <c r="G81" s="225">
        <f>+ROUND((E81*F81),2)</f>
        <v>0</v>
      </c>
      <c r="H81" s="314"/>
    </row>
    <row r="82" spans="2:10" ht="38.25" x14ac:dyDescent="0.2">
      <c r="B82" s="233" t="s">
        <v>209</v>
      </c>
      <c r="C82" s="234" t="s">
        <v>126</v>
      </c>
      <c r="D82" s="226"/>
      <c r="E82" s="224"/>
      <c r="F82" s="235"/>
      <c r="G82" s="225">
        <f>+ROUND((SUM(G76:G80)*0.1),-1)</f>
        <v>0</v>
      </c>
    </row>
    <row r="83" spans="2:10" x14ac:dyDescent="0.2">
      <c r="B83" s="233"/>
      <c r="C83" s="283" t="s">
        <v>210</v>
      </c>
      <c r="D83" s="226"/>
      <c r="E83" s="224"/>
      <c r="F83" s="235"/>
      <c r="G83" s="310">
        <f>SUM(G76:G82)</f>
        <v>0</v>
      </c>
    </row>
    <row r="84" spans="2:10" x14ac:dyDescent="0.2">
      <c r="B84" s="301" t="s">
        <v>77</v>
      </c>
      <c r="C84" s="283" t="s">
        <v>78</v>
      </c>
      <c r="D84" s="226"/>
      <c r="E84" s="224"/>
      <c r="F84" s="235"/>
      <c r="G84" s="225"/>
    </row>
    <row r="85" spans="2:10" ht="76.5" x14ac:dyDescent="0.2">
      <c r="B85" s="301"/>
      <c r="C85" s="304" t="s">
        <v>211</v>
      </c>
      <c r="D85" s="226"/>
      <c r="E85" s="224"/>
      <c r="F85" s="235"/>
      <c r="G85" s="225"/>
    </row>
    <row r="86" spans="2:10" x14ac:dyDescent="0.2">
      <c r="B86" s="233" t="s">
        <v>212</v>
      </c>
      <c r="C86" s="234" t="s">
        <v>213</v>
      </c>
      <c r="D86" s="226"/>
      <c r="E86" s="224"/>
      <c r="F86" s="235"/>
      <c r="G86" s="225"/>
    </row>
    <row r="87" spans="2:10" ht="51" x14ac:dyDescent="0.2">
      <c r="B87" s="233" t="s">
        <v>214</v>
      </c>
      <c r="C87" s="234" t="s">
        <v>215</v>
      </c>
      <c r="D87" s="226" t="s">
        <v>136</v>
      </c>
      <c r="E87" s="224">
        <v>773</v>
      </c>
      <c r="F87" s="235"/>
      <c r="G87" s="225">
        <f t="shared" ref="G87:G94" si="5">+ROUND((E87*F87),2)</f>
        <v>0</v>
      </c>
      <c r="I87" s="273"/>
    </row>
    <row r="88" spans="2:10" ht="51" x14ac:dyDescent="0.2">
      <c r="B88" s="233" t="s">
        <v>216</v>
      </c>
      <c r="C88" s="234" t="s">
        <v>217</v>
      </c>
      <c r="D88" s="226" t="s">
        <v>136</v>
      </c>
      <c r="E88" s="224">
        <v>257.5</v>
      </c>
      <c r="F88" s="235"/>
      <c r="G88" s="225">
        <f t="shared" si="5"/>
        <v>0</v>
      </c>
      <c r="I88" s="273"/>
    </row>
    <row r="89" spans="2:10" ht="25.5" x14ac:dyDescent="0.2">
      <c r="B89" s="233" t="s">
        <v>218</v>
      </c>
      <c r="C89" s="234" t="s">
        <v>219</v>
      </c>
      <c r="D89" s="226" t="s">
        <v>132</v>
      </c>
      <c r="E89" s="224">
        <v>894.44</v>
      </c>
      <c r="F89" s="235"/>
      <c r="G89" s="225">
        <f t="shared" si="5"/>
        <v>0</v>
      </c>
    </row>
    <row r="90" spans="2:10" ht="25.5" x14ac:dyDescent="0.2">
      <c r="B90" s="233" t="s">
        <v>220</v>
      </c>
      <c r="C90" s="234" t="s">
        <v>221</v>
      </c>
      <c r="D90" s="226" t="s">
        <v>132</v>
      </c>
      <c r="E90" s="224"/>
      <c r="F90" s="235"/>
      <c r="G90" s="225">
        <f t="shared" si="5"/>
        <v>0</v>
      </c>
    </row>
    <row r="91" spans="2:10" ht="38.25" x14ac:dyDescent="0.2">
      <c r="B91" s="233" t="s">
        <v>222</v>
      </c>
      <c r="C91" s="234" t="s">
        <v>223</v>
      </c>
      <c r="D91" s="226" t="s">
        <v>132</v>
      </c>
      <c r="E91" s="224">
        <v>717.15</v>
      </c>
      <c r="F91" s="235"/>
      <c r="G91" s="225">
        <f t="shared" si="5"/>
        <v>0</v>
      </c>
      <c r="J91" s="273"/>
    </row>
    <row r="92" spans="2:10" ht="25.5" x14ac:dyDescent="0.2">
      <c r="B92" s="233" t="s">
        <v>224</v>
      </c>
      <c r="C92" s="234" t="s">
        <v>225</v>
      </c>
      <c r="D92" s="226" t="s">
        <v>132</v>
      </c>
      <c r="E92" s="224">
        <f>+E97+E98</f>
        <v>260.44</v>
      </c>
      <c r="F92" s="235"/>
      <c r="G92" s="225">
        <f t="shared" si="5"/>
        <v>0</v>
      </c>
      <c r="I92" s="264">
        <f>+E89+E90+E91+E92</f>
        <v>1872.0300000000002</v>
      </c>
      <c r="J92" s="273"/>
    </row>
    <row r="93" spans="2:10" ht="25.5" x14ac:dyDescent="0.2">
      <c r="B93" s="233" t="s">
        <v>224</v>
      </c>
      <c r="C93" s="234" t="s">
        <v>227</v>
      </c>
      <c r="D93" s="226" t="s">
        <v>132</v>
      </c>
      <c r="E93" s="224">
        <f>+(E89+E90+E91)*0.02</f>
        <v>32.231800000000007</v>
      </c>
      <c r="F93" s="235"/>
      <c r="G93" s="225">
        <f t="shared" si="5"/>
        <v>0</v>
      </c>
    </row>
    <row r="94" spans="2:10" ht="25.5" x14ac:dyDescent="0.2">
      <c r="B94" s="233" t="s">
        <v>226</v>
      </c>
      <c r="C94" s="234" t="s">
        <v>229</v>
      </c>
      <c r="D94" s="226" t="s">
        <v>120</v>
      </c>
      <c r="E94" s="224">
        <v>200</v>
      </c>
      <c r="F94" s="235"/>
      <c r="G94" s="225">
        <f t="shared" si="5"/>
        <v>0</v>
      </c>
    </row>
    <row r="95" spans="2:10" x14ac:dyDescent="0.2">
      <c r="B95" s="233" t="s">
        <v>230</v>
      </c>
      <c r="C95" s="234" t="s">
        <v>231</v>
      </c>
      <c r="D95" s="226"/>
      <c r="E95" s="224"/>
      <c r="F95" s="235"/>
      <c r="G95" s="225"/>
    </row>
    <row r="96" spans="2:10" ht="25.5" x14ac:dyDescent="0.2">
      <c r="B96" s="233" t="s">
        <v>232</v>
      </c>
      <c r="C96" s="234" t="s">
        <v>233</v>
      </c>
      <c r="D96" s="226" t="s">
        <v>136</v>
      </c>
      <c r="E96" s="224">
        <f>E22*1.7</f>
        <v>651.1</v>
      </c>
      <c r="F96" s="235"/>
      <c r="G96" s="225">
        <f t="shared" ref="G96:G104" si="6">+ROUND((E96*F96),2)</f>
        <v>0</v>
      </c>
    </row>
    <row r="97" spans="2:9" ht="76.5" hidden="1" x14ac:dyDescent="0.2">
      <c r="B97" s="233" t="s">
        <v>234</v>
      </c>
      <c r="C97" s="234" t="s">
        <v>235</v>
      </c>
      <c r="D97" s="226" t="s">
        <v>132</v>
      </c>
      <c r="E97" s="224"/>
      <c r="F97" s="235"/>
      <c r="G97" s="225">
        <f t="shared" si="6"/>
        <v>0</v>
      </c>
    </row>
    <row r="98" spans="2:9" ht="114.75" x14ac:dyDescent="0.2">
      <c r="B98" s="233" t="s">
        <v>236</v>
      </c>
      <c r="C98" s="234" t="s">
        <v>342</v>
      </c>
      <c r="D98" s="226" t="s">
        <v>132</v>
      </c>
      <c r="E98" s="224">
        <f>E22*1.7*0.4*100%</f>
        <v>260.44</v>
      </c>
      <c r="F98" s="235"/>
      <c r="G98" s="225">
        <f t="shared" si="6"/>
        <v>0</v>
      </c>
    </row>
    <row r="99" spans="2:9" ht="76.5" x14ac:dyDescent="0.2">
      <c r="B99" s="233" t="s">
        <v>238</v>
      </c>
      <c r="C99" s="234" t="s">
        <v>239</v>
      </c>
      <c r="D99" s="226" t="s">
        <v>132</v>
      </c>
      <c r="E99" s="224">
        <v>76.260000000000005</v>
      </c>
      <c r="F99" s="235"/>
      <c r="G99" s="225">
        <f t="shared" si="6"/>
        <v>0</v>
      </c>
    </row>
    <row r="100" spans="2:9" ht="63.75" x14ac:dyDescent="0.2">
      <c r="B100" s="233" t="s">
        <v>240</v>
      </c>
      <c r="C100" s="234" t="s">
        <v>241</v>
      </c>
      <c r="D100" s="226" t="s">
        <v>132</v>
      </c>
      <c r="E100" s="224">
        <v>266.16000000000003</v>
      </c>
      <c r="F100" s="235"/>
      <c r="G100" s="225">
        <f t="shared" si="6"/>
        <v>0</v>
      </c>
    </row>
    <row r="101" spans="2:9" ht="51" x14ac:dyDescent="0.2">
      <c r="B101" s="233" t="s">
        <v>242</v>
      </c>
      <c r="C101" s="234" t="s">
        <v>243</v>
      </c>
      <c r="D101" s="226" t="s">
        <v>136</v>
      </c>
      <c r="E101" s="224">
        <f>4*E22</f>
        <v>1532</v>
      </c>
      <c r="F101" s="235"/>
      <c r="G101" s="225">
        <f t="shared" si="6"/>
        <v>0</v>
      </c>
    </row>
    <row r="102" spans="2:9" ht="63.75" x14ac:dyDescent="0.2">
      <c r="B102" s="233" t="s">
        <v>244</v>
      </c>
      <c r="C102" s="234" t="s">
        <v>245</v>
      </c>
      <c r="D102" s="226" t="s">
        <v>132</v>
      </c>
      <c r="E102" s="224">
        <f>((E89+E90+E91)-E99-E100-E53-E55-0.05*E112-0.07*E113-0.01*E114)*0.8</f>
        <v>576.28800000000012</v>
      </c>
      <c r="F102" s="235"/>
      <c r="G102" s="225">
        <f t="shared" si="6"/>
        <v>0</v>
      </c>
    </row>
    <row r="103" spans="2:9" ht="63.75" x14ac:dyDescent="0.2">
      <c r="B103" s="233" t="s">
        <v>246</v>
      </c>
      <c r="C103" s="234" t="s">
        <v>247</v>
      </c>
      <c r="D103" s="226" t="s">
        <v>132</v>
      </c>
      <c r="E103" s="315">
        <f>((E89+E90+E91)-E99-E100-E53-E55-0.05*E112-0.07*E113-0.01*E114)*0.2</f>
        <v>144.07200000000003</v>
      </c>
      <c r="F103" s="235"/>
      <c r="G103" s="225">
        <f t="shared" si="6"/>
        <v>0</v>
      </c>
    </row>
    <row r="104" spans="2:9" ht="76.5" x14ac:dyDescent="0.2">
      <c r="B104" s="233" t="s">
        <v>343</v>
      </c>
      <c r="C104" s="234" t="s">
        <v>344</v>
      </c>
      <c r="D104" s="226" t="s">
        <v>132</v>
      </c>
      <c r="E104" s="224">
        <f>E22*1.7*0.2*20%</f>
        <v>26.044</v>
      </c>
      <c r="F104" s="235"/>
      <c r="G104" s="225">
        <f t="shared" si="6"/>
        <v>0</v>
      </c>
    </row>
    <row r="105" spans="2:9" x14ac:dyDescent="0.2">
      <c r="B105" s="233" t="s">
        <v>248</v>
      </c>
      <c r="C105" s="234" t="s">
        <v>249</v>
      </c>
      <c r="D105" s="226"/>
      <c r="E105" s="315"/>
      <c r="F105" s="235"/>
      <c r="G105" s="225"/>
    </row>
    <row r="106" spans="2:9" ht="25.5" x14ac:dyDescent="0.2">
      <c r="B106" s="233" t="s">
        <v>250</v>
      </c>
      <c r="C106" s="234" t="s">
        <v>251</v>
      </c>
      <c r="D106" s="226" t="s">
        <v>132</v>
      </c>
      <c r="E106" s="315">
        <f>+(E89+E90+E91+E92)-E103</f>
        <v>1727.9580000000001</v>
      </c>
      <c r="F106" s="235"/>
      <c r="G106" s="225">
        <f>+ROUND((E106*F106),2)</f>
        <v>0</v>
      </c>
      <c r="I106" s="273">
        <f>E106+E107</f>
        <v>1872.0300000000002</v>
      </c>
    </row>
    <row r="107" spans="2:9" ht="25.5" x14ac:dyDescent="0.2">
      <c r="B107" s="233" t="s">
        <v>252</v>
      </c>
      <c r="C107" s="234" t="s">
        <v>253</v>
      </c>
      <c r="D107" s="226" t="s">
        <v>132</v>
      </c>
      <c r="E107" s="315">
        <f>+E103</f>
        <v>144.07200000000003</v>
      </c>
      <c r="F107" s="235"/>
      <c r="G107" s="225">
        <f>+ROUND((E107*F107),2)</f>
        <v>0</v>
      </c>
    </row>
    <row r="108" spans="2:9" ht="38.25" x14ac:dyDescent="0.2">
      <c r="B108" s="233" t="s">
        <v>254</v>
      </c>
      <c r="C108" s="234" t="s">
        <v>126</v>
      </c>
      <c r="D108" s="226"/>
      <c r="E108" s="315"/>
      <c r="F108" s="235"/>
      <c r="G108" s="225">
        <f>+ROUND((SUM(G87:G107)*0.1),-1)</f>
        <v>0</v>
      </c>
    </row>
    <row r="109" spans="2:9" x14ac:dyDescent="0.2">
      <c r="B109" s="233"/>
      <c r="C109" s="283" t="s">
        <v>255</v>
      </c>
      <c r="D109" s="226"/>
      <c r="E109" s="315"/>
      <c r="F109" s="235"/>
      <c r="G109" s="310">
        <f>SUM(G87:G108)</f>
        <v>0</v>
      </c>
    </row>
    <row r="110" spans="2:9" x14ac:dyDescent="0.2">
      <c r="B110" s="301" t="s">
        <v>79</v>
      </c>
      <c r="C110" s="283" t="s">
        <v>80</v>
      </c>
      <c r="D110" s="226"/>
      <c r="E110" s="224"/>
      <c r="F110" s="235"/>
      <c r="G110" s="225"/>
    </row>
    <row r="111" spans="2:9" x14ac:dyDescent="0.2">
      <c r="B111" s="233" t="s">
        <v>256</v>
      </c>
      <c r="C111" s="234" t="s">
        <v>257</v>
      </c>
      <c r="D111" s="226"/>
      <c r="E111" s="224"/>
      <c r="F111" s="235"/>
      <c r="G111" s="225"/>
    </row>
    <row r="112" spans="2:9" ht="165.75" hidden="1" x14ac:dyDescent="0.2">
      <c r="B112" s="233" t="s">
        <v>258</v>
      </c>
      <c r="C112" s="234" t="s">
        <v>259</v>
      </c>
      <c r="D112" s="226" t="s">
        <v>57</v>
      </c>
      <c r="E112" s="224"/>
      <c r="F112" s="235"/>
      <c r="G112" s="225">
        <f>+ROUND((E112*F112),2)</f>
        <v>0</v>
      </c>
    </row>
    <row r="113" spans="2:7" ht="131.65" customHeight="1" x14ac:dyDescent="0.2">
      <c r="B113" s="233" t="s">
        <v>260</v>
      </c>
      <c r="C113" s="234" t="s">
        <v>261</v>
      </c>
      <c r="D113" s="226" t="s">
        <v>57</v>
      </c>
      <c r="E113" s="224">
        <v>383</v>
      </c>
      <c r="F113" s="235"/>
      <c r="G113" s="225">
        <f>+ROUND((E113*F113),2)</f>
        <v>0</v>
      </c>
    </row>
    <row r="114" spans="2:7" ht="51" hidden="1" x14ac:dyDescent="0.2">
      <c r="B114" s="233" t="s">
        <v>262</v>
      </c>
      <c r="C114" s="234" t="s">
        <v>263</v>
      </c>
      <c r="D114" s="226" t="s">
        <v>57</v>
      </c>
      <c r="E114" s="224"/>
      <c r="F114" s="235"/>
      <c r="G114" s="225">
        <f>+ROUND((E114*F114),2)</f>
        <v>0</v>
      </c>
    </row>
    <row r="115" spans="2:7" x14ac:dyDescent="0.2">
      <c r="B115" s="233" t="s">
        <v>264</v>
      </c>
      <c r="C115" s="234" t="s">
        <v>265</v>
      </c>
      <c r="D115" s="226"/>
      <c r="E115" s="224"/>
      <c r="F115" s="235"/>
      <c r="G115" s="225"/>
    </row>
    <row r="116" spans="2:7" ht="102" x14ac:dyDescent="0.2">
      <c r="B116" s="233" t="s">
        <v>266</v>
      </c>
      <c r="C116" s="234" t="s">
        <v>267</v>
      </c>
      <c r="D116" s="226" t="s">
        <v>64</v>
      </c>
      <c r="E116" s="224">
        <v>2</v>
      </c>
      <c r="F116" s="235"/>
      <c r="G116" s="225">
        <f>+ROUND((E116*F116),2)</f>
        <v>0</v>
      </c>
    </row>
    <row r="117" spans="2:7" ht="102" x14ac:dyDescent="0.2">
      <c r="B117" s="233" t="s">
        <v>268</v>
      </c>
      <c r="C117" s="234" t="s">
        <v>269</v>
      </c>
      <c r="D117" s="226" t="s">
        <v>64</v>
      </c>
      <c r="E117" s="224">
        <v>8</v>
      </c>
      <c r="F117" s="235"/>
      <c r="G117" s="225">
        <f>+ROUND((E117*F117),2)</f>
        <v>0</v>
      </c>
    </row>
    <row r="118" spans="2:7" ht="102" x14ac:dyDescent="0.2">
      <c r="B118" s="233" t="s">
        <v>270</v>
      </c>
      <c r="C118" s="234" t="s">
        <v>271</v>
      </c>
      <c r="D118" s="226" t="s">
        <v>64</v>
      </c>
      <c r="E118" s="224">
        <v>2</v>
      </c>
      <c r="F118" s="235"/>
      <c r="G118" s="225">
        <f>+ROUND((E118*F118),2)</f>
        <v>0</v>
      </c>
    </row>
    <row r="119" spans="2:7" ht="102" hidden="1" x14ac:dyDescent="0.2">
      <c r="B119" s="233" t="s">
        <v>272</v>
      </c>
      <c r="C119" s="234" t="s">
        <v>273</v>
      </c>
      <c r="D119" s="226" t="s">
        <v>64</v>
      </c>
      <c r="E119" s="224"/>
      <c r="F119" s="235"/>
      <c r="G119" s="225">
        <f>+ROUND((E119*F119),2)</f>
        <v>0</v>
      </c>
    </row>
    <row r="120" spans="2:7" ht="89.25" x14ac:dyDescent="0.2">
      <c r="B120" s="233" t="s">
        <v>274</v>
      </c>
      <c r="C120" s="234" t="s">
        <v>275</v>
      </c>
      <c r="D120" s="226" t="s">
        <v>64</v>
      </c>
      <c r="E120" s="224">
        <f>+E116+E117+E118+E119</f>
        <v>12</v>
      </c>
      <c r="F120" s="235"/>
      <c r="G120" s="225">
        <f>+ROUND((E120*F120),2)</f>
        <v>0</v>
      </c>
    </row>
    <row r="121" spans="2:7" ht="25.5" x14ac:dyDescent="0.2">
      <c r="B121" s="233" t="s">
        <v>276</v>
      </c>
      <c r="C121" s="234" t="s">
        <v>277</v>
      </c>
      <c r="D121" s="226" t="s">
        <v>64</v>
      </c>
      <c r="E121" s="224">
        <v>2</v>
      </c>
      <c r="F121" s="235"/>
      <c r="G121" s="225">
        <f>+E121*F121</f>
        <v>0</v>
      </c>
    </row>
    <row r="122" spans="2:7" x14ac:dyDescent="0.2">
      <c r="B122" s="233" t="s">
        <v>278</v>
      </c>
      <c r="C122" s="234" t="s">
        <v>279</v>
      </c>
      <c r="D122" s="226"/>
      <c r="E122" s="224"/>
      <c r="F122" s="235"/>
      <c r="G122" s="225"/>
    </row>
    <row r="123" spans="2:7" ht="51" hidden="1" x14ac:dyDescent="0.2">
      <c r="B123" s="233" t="s">
        <v>280</v>
      </c>
      <c r="C123" s="234" t="s">
        <v>281</v>
      </c>
      <c r="D123" s="226" t="s">
        <v>64</v>
      </c>
      <c r="E123" s="224"/>
      <c r="F123" s="235"/>
      <c r="G123" s="225">
        <f>+ROUND((E123*F123),2)</f>
        <v>0</v>
      </c>
    </row>
    <row r="124" spans="2:7" ht="51" x14ac:dyDescent="0.2">
      <c r="B124" s="233" t="s">
        <v>282</v>
      </c>
      <c r="C124" s="234" t="s">
        <v>283</v>
      </c>
      <c r="D124" s="226" t="s">
        <v>64</v>
      </c>
      <c r="E124" s="224">
        <v>5</v>
      </c>
      <c r="F124" s="235"/>
      <c r="G124" s="225">
        <f>+ROUND((E124*F124),2)</f>
        <v>0</v>
      </c>
    </row>
    <row r="125" spans="2:7" ht="25.5" hidden="1" x14ac:dyDescent="0.2">
      <c r="B125" s="233" t="s">
        <v>284</v>
      </c>
      <c r="C125" s="234" t="s">
        <v>285</v>
      </c>
      <c r="D125" s="226" t="s">
        <v>95</v>
      </c>
      <c r="E125" s="224"/>
      <c r="F125" s="235"/>
      <c r="G125" s="225">
        <f>+E125*F125</f>
        <v>0</v>
      </c>
    </row>
    <row r="126" spans="2:7" ht="25.5" x14ac:dyDescent="0.2">
      <c r="B126" s="233" t="s">
        <v>286</v>
      </c>
      <c r="C126" s="234" t="s">
        <v>287</v>
      </c>
      <c r="D126" s="226" t="s">
        <v>57</v>
      </c>
      <c r="E126" s="224">
        <v>3</v>
      </c>
      <c r="F126" s="235"/>
      <c r="G126" s="225">
        <f>+ROUND((E126*F126),2)</f>
        <v>0</v>
      </c>
    </row>
    <row r="127" spans="2:7" x14ac:dyDescent="0.2">
      <c r="B127" s="233" t="s">
        <v>288</v>
      </c>
      <c r="C127" s="234" t="s">
        <v>289</v>
      </c>
      <c r="D127" s="226"/>
      <c r="E127" s="224"/>
      <c r="F127" s="235"/>
      <c r="G127" s="225"/>
    </row>
    <row r="128" spans="2:7" x14ac:dyDescent="0.2">
      <c r="B128" s="233" t="s">
        <v>290</v>
      </c>
      <c r="C128" s="234" t="s">
        <v>291</v>
      </c>
      <c r="D128" s="226" t="s">
        <v>57</v>
      </c>
      <c r="E128" s="224">
        <f>E22</f>
        <v>383</v>
      </c>
      <c r="F128" s="235"/>
      <c r="G128" s="225">
        <f>+ROUND((E128*F128),2)</f>
        <v>0</v>
      </c>
    </row>
    <row r="129" spans="2:7" ht="38.25" x14ac:dyDescent="0.2">
      <c r="B129" s="233" t="s">
        <v>292</v>
      </c>
      <c r="C129" s="234" t="s">
        <v>293</v>
      </c>
      <c r="D129" s="226" t="s">
        <v>57</v>
      </c>
      <c r="E129" s="224">
        <f>+E128</f>
        <v>383</v>
      </c>
      <c r="F129" s="235"/>
      <c r="G129" s="225">
        <f>+ROUND((E129*F129),2)</f>
        <v>0</v>
      </c>
    </row>
    <row r="130" spans="2:7" ht="51" x14ac:dyDescent="0.2">
      <c r="B130" s="233" t="s">
        <v>294</v>
      </c>
      <c r="C130" s="234" t="s">
        <v>295</v>
      </c>
      <c r="D130" s="226" t="s">
        <v>57</v>
      </c>
      <c r="E130" s="224">
        <f>+E129</f>
        <v>383</v>
      </c>
      <c r="F130" s="235"/>
      <c r="G130" s="225">
        <f>+ROUND((E130*F130),2)</f>
        <v>0</v>
      </c>
    </row>
    <row r="131" spans="2:7" x14ac:dyDescent="0.2">
      <c r="B131" s="233" t="s">
        <v>296</v>
      </c>
      <c r="C131" s="234" t="s">
        <v>297</v>
      </c>
      <c r="D131" s="226"/>
      <c r="E131" s="224"/>
      <c r="F131" s="235"/>
      <c r="G131" s="225"/>
    </row>
    <row r="132" spans="2:7" ht="25.5" hidden="1" x14ac:dyDescent="0.2">
      <c r="B132" s="233" t="s">
        <v>298</v>
      </c>
      <c r="C132" s="234" t="s">
        <v>299</v>
      </c>
      <c r="D132" s="226" t="s">
        <v>64</v>
      </c>
      <c r="E132" s="224"/>
      <c r="F132" s="235"/>
      <c r="G132" s="225">
        <f t="shared" ref="G132:G141" si="7">+ROUND((E132*F132),2)</f>
        <v>0</v>
      </c>
    </row>
    <row r="133" spans="2:7" ht="25.5" hidden="1" x14ac:dyDescent="0.2">
      <c r="B133" s="233" t="s">
        <v>300</v>
      </c>
      <c r="C133" s="234" t="s">
        <v>301</v>
      </c>
      <c r="D133" s="226" t="s">
        <v>64</v>
      </c>
      <c r="E133" s="224"/>
      <c r="F133" s="235"/>
      <c r="G133" s="225">
        <f t="shared" si="7"/>
        <v>0</v>
      </c>
    </row>
    <row r="134" spans="2:7" ht="38.25" x14ac:dyDescent="0.2">
      <c r="B134" s="233" t="s">
        <v>302</v>
      </c>
      <c r="C134" s="234" t="s">
        <v>303</v>
      </c>
      <c r="D134" s="226" t="s">
        <v>64</v>
      </c>
      <c r="E134" s="224">
        <v>2</v>
      </c>
      <c r="F134" s="235"/>
      <c r="G134" s="225">
        <f t="shared" si="7"/>
        <v>0</v>
      </c>
    </row>
    <row r="135" spans="2:7" ht="25.5" x14ac:dyDescent="0.2">
      <c r="B135" s="233" t="s">
        <v>304</v>
      </c>
      <c r="C135" s="234" t="s">
        <v>305</v>
      </c>
      <c r="D135" s="226" t="s">
        <v>64</v>
      </c>
      <c r="E135" s="224">
        <v>3</v>
      </c>
      <c r="F135" s="235"/>
      <c r="G135" s="225">
        <f t="shared" si="7"/>
        <v>0</v>
      </c>
    </row>
    <row r="136" spans="2:7" ht="38.25" x14ac:dyDescent="0.2">
      <c r="B136" s="233" t="s">
        <v>306</v>
      </c>
      <c r="C136" s="234" t="s">
        <v>307</v>
      </c>
      <c r="D136" s="226" t="s">
        <v>64</v>
      </c>
      <c r="E136" s="224">
        <v>3</v>
      </c>
      <c r="F136" s="235"/>
      <c r="G136" s="225">
        <f t="shared" si="7"/>
        <v>0</v>
      </c>
    </row>
    <row r="137" spans="2:7" ht="38.25" hidden="1" x14ac:dyDescent="0.2">
      <c r="B137" s="233" t="s">
        <v>308</v>
      </c>
      <c r="C137" s="234" t="s">
        <v>309</v>
      </c>
      <c r="D137" s="226" t="s">
        <v>64</v>
      </c>
      <c r="E137" s="224"/>
      <c r="F137" s="235"/>
      <c r="G137" s="225">
        <f t="shared" si="7"/>
        <v>0</v>
      </c>
    </row>
    <row r="138" spans="2:7" ht="89.25" hidden="1" x14ac:dyDescent="0.2">
      <c r="B138" s="233" t="s">
        <v>310</v>
      </c>
      <c r="C138" s="234" t="s">
        <v>311</v>
      </c>
      <c r="D138" s="226" t="s">
        <v>57</v>
      </c>
      <c r="E138" s="224"/>
      <c r="F138" s="235"/>
      <c r="G138" s="225">
        <f t="shared" si="7"/>
        <v>0</v>
      </c>
    </row>
    <row r="139" spans="2:7" ht="89.25" x14ac:dyDescent="0.2">
      <c r="B139" s="233" t="s">
        <v>312</v>
      </c>
      <c r="C139" s="234" t="s">
        <v>313</v>
      </c>
      <c r="D139" s="226" t="s">
        <v>57</v>
      </c>
      <c r="E139" s="224">
        <v>220</v>
      </c>
      <c r="F139" s="235"/>
      <c r="G139" s="225">
        <f t="shared" si="7"/>
        <v>0</v>
      </c>
    </row>
    <row r="140" spans="2:7" ht="89.25" hidden="1" x14ac:dyDescent="0.2">
      <c r="B140" s="233" t="s">
        <v>314</v>
      </c>
      <c r="C140" s="234" t="s">
        <v>315</v>
      </c>
      <c r="D140" s="226" t="s">
        <v>57</v>
      </c>
      <c r="E140" s="224"/>
      <c r="F140" s="235"/>
      <c r="G140" s="225">
        <f t="shared" si="7"/>
        <v>0</v>
      </c>
    </row>
    <row r="141" spans="2:7" ht="76.5" x14ac:dyDescent="0.2">
      <c r="B141" s="233" t="s">
        <v>316</v>
      </c>
      <c r="C141" s="234" t="s">
        <v>345</v>
      </c>
      <c r="D141" s="226" t="s">
        <v>57</v>
      </c>
      <c r="E141" s="224">
        <v>10</v>
      </c>
      <c r="F141" s="235"/>
      <c r="G141" s="225">
        <f t="shared" si="7"/>
        <v>0</v>
      </c>
    </row>
    <row r="142" spans="2:7" ht="38.25" x14ac:dyDescent="0.2">
      <c r="B142" s="233" t="s">
        <v>318</v>
      </c>
      <c r="C142" s="234" t="s">
        <v>126</v>
      </c>
      <c r="D142" s="226"/>
      <c r="E142" s="224"/>
      <c r="F142" s="235"/>
      <c r="G142" s="225">
        <f>+ROUND((SUM(G112:G141)*0.1),-1)</f>
        <v>0</v>
      </c>
    </row>
    <row r="143" spans="2:7" x14ac:dyDescent="0.2">
      <c r="B143" s="233"/>
      <c r="C143" s="283" t="s">
        <v>319</v>
      </c>
      <c r="D143" s="226"/>
      <c r="E143" s="224"/>
      <c r="F143" s="235"/>
      <c r="G143" s="310">
        <f>SUM(G112:G142)</f>
        <v>0</v>
      </c>
    </row>
    <row r="144" spans="2:7" x14ac:dyDescent="0.2">
      <c r="B144" s="301" t="s">
        <v>81</v>
      </c>
      <c r="C144" s="283" t="s">
        <v>320</v>
      </c>
      <c r="D144" s="226"/>
      <c r="E144" s="224"/>
      <c r="F144" s="235"/>
      <c r="G144" s="225"/>
    </row>
    <row r="145" spans="2:7" ht="248.85" customHeight="1" x14ac:dyDescent="0.2">
      <c r="B145" s="233" t="s">
        <v>321</v>
      </c>
      <c r="C145" s="234" t="s">
        <v>322</v>
      </c>
      <c r="D145" s="226" t="s">
        <v>57</v>
      </c>
      <c r="E145" s="224">
        <v>28</v>
      </c>
      <c r="F145" s="235"/>
      <c r="G145" s="225">
        <f>+ROUND((E145*F145),2)</f>
        <v>0</v>
      </c>
    </row>
    <row r="146" spans="2:7" ht="241.7" customHeight="1" x14ac:dyDescent="0.2">
      <c r="B146" s="233" t="s">
        <v>323</v>
      </c>
      <c r="C146" s="234" t="s">
        <v>333</v>
      </c>
      <c r="D146" s="226" t="s">
        <v>57</v>
      </c>
      <c r="E146" s="224"/>
      <c r="F146" s="235"/>
      <c r="G146" s="225">
        <f>+ROUND((E146*F146),2)</f>
        <v>0</v>
      </c>
    </row>
    <row r="147" spans="2:7" ht="90.95" customHeight="1" x14ac:dyDescent="0.2">
      <c r="B147" s="233" t="s">
        <v>325</v>
      </c>
      <c r="C147" s="234" t="s">
        <v>324</v>
      </c>
      <c r="D147" s="226" t="s">
        <v>64</v>
      </c>
      <c r="E147" s="224">
        <v>1</v>
      </c>
      <c r="F147" s="235"/>
      <c r="G147" s="225">
        <f>+ROUND((E147*F147),2)</f>
        <v>0</v>
      </c>
    </row>
    <row r="148" spans="2:7" ht="109.5" customHeight="1" x14ac:dyDescent="0.2">
      <c r="B148" s="233" t="s">
        <v>334</v>
      </c>
      <c r="C148" s="234" t="s">
        <v>326</v>
      </c>
      <c r="D148" s="226" t="s">
        <v>64</v>
      </c>
      <c r="E148" s="224">
        <v>4</v>
      </c>
      <c r="F148" s="235"/>
      <c r="G148" s="225">
        <f>+ROUND((E148*F148),2)</f>
        <v>0</v>
      </c>
    </row>
    <row r="149" spans="2:7" ht="38.25" x14ac:dyDescent="0.2">
      <c r="B149" s="233" t="s">
        <v>327</v>
      </c>
      <c r="C149" s="234" t="s">
        <v>126</v>
      </c>
      <c r="D149" s="226"/>
      <c r="E149" s="224"/>
      <c r="F149" s="235"/>
      <c r="G149" s="225">
        <f>+ROUND((SUM(G145:G148)*0.1),-1)</f>
        <v>0</v>
      </c>
    </row>
    <row r="150" spans="2:7" x14ac:dyDescent="0.2">
      <c r="B150" s="233"/>
      <c r="C150" s="283" t="s">
        <v>328</v>
      </c>
      <c r="D150" s="226"/>
      <c r="E150" s="224"/>
      <c r="F150" s="235"/>
      <c r="G150" s="310">
        <f>SUM(G145:G149)</f>
        <v>0</v>
      </c>
    </row>
    <row r="151" spans="2:7" x14ac:dyDescent="0.2">
      <c r="C151" s="316"/>
      <c r="E151" s="272"/>
      <c r="F151" s="318"/>
      <c r="G151" s="273"/>
    </row>
    <row r="152" spans="2:7" x14ac:dyDescent="0.2">
      <c r="C152" s="316"/>
      <c r="E152" s="272"/>
      <c r="F152" s="318"/>
      <c r="G152" s="273"/>
    </row>
    <row r="153" spans="2:7" x14ac:dyDescent="0.2">
      <c r="C153" s="316"/>
      <c r="E153" s="272"/>
      <c r="F153" s="318"/>
      <c r="G153" s="273"/>
    </row>
    <row r="154" spans="2:7" x14ac:dyDescent="0.2">
      <c r="C154" s="316"/>
      <c r="D154" s="271"/>
      <c r="E154" s="319"/>
      <c r="F154" s="318"/>
      <c r="G154" s="273"/>
    </row>
    <row r="155" spans="2:7" x14ac:dyDescent="0.2">
      <c r="C155" s="316"/>
      <c r="E155" s="272"/>
      <c r="F155" s="318"/>
      <c r="G155" s="273"/>
    </row>
    <row r="156" spans="2:7" x14ac:dyDescent="0.2">
      <c r="C156" s="316"/>
      <c r="E156" s="272"/>
      <c r="F156" s="318"/>
      <c r="G156" s="273"/>
    </row>
    <row r="157" spans="2:7" x14ac:dyDescent="0.2">
      <c r="C157" s="272"/>
      <c r="D157" s="271"/>
      <c r="E157" s="272"/>
      <c r="F157" s="318"/>
      <c r="G157" s="273"/>
    </row>
    <row r="158" spans="2:7" x14ac:dyDescent="0.2">
      <c r="C158" s="273"/>
      <c r="E158" s="272"/>
      <c r="F158" s="318"/>
      <c r="G158" s="273"/>
    </row>
    <row r="159" spans="2:7" x14ac:dyDescent="0.2">
      <c r="D159" s="271"/>
      <c r="E159" s="272"/>
      <c r="F159" s="318"/>
      <c r="G159" s="273"/>
    </row>
    <row r="160" spans="2:7" x14ac:dyDescent="0.2">
      <c r="C160" s="316"/>
      <c r="E160" s="272"/>
      <c r="F160" s="318"/>
      <c r="G160" s="273"/>
    </row>
    <row r="161" spans="3:7" x14ac:dyDescent="0.2">
      <c r="C161" s="273"/>
      <c r="E161" s="272"/>
      <c r="F161" s="318"/>
      <c r="G161" s="273"/>
    </row>
    <row r="162" spans="3:7" x14ac:dyDescent="0.2">
      <c r="C162" s="316"/>
      <c r="E162" s="272"/>
      <c r="F162" s="318"/>
      <c r="G162" s="273"/>
    </row>
    <row r="163" spans="3:7" x14ac:dyDescent="0.2">
      <c r="C163" s="316"/>
      <c r="E163" s="272"/>
      <c r="F163" s="318"/>
      <c r="G163" s="273"/>
    </row>
    <row r="164" spans="3:7" x14ac:dyDescent="0.2">
      <c r="C164" s="273"/>
      <c r="D164" s="271"/>
      <c r="E164" s="272"/>
      <c r="F164" s="318"/>
      <c r="G164" s="273"/>
    </row>
    <row r="165" spans="3:7" x14ac:dyDescent="0.2">
      <c r="C165" s="316"/>
      <c r="E165" s="272"/>
      <c r="F165" s="318"/>
      <c r="G165" s="273"/>
    </row>
    <row r="167" spans="3:7" s="264" customFormat="1" x14ac:dyDescent="0.2"/>
    <row r="168" spans="3:7" x14ac:dyDescent="0.2">
      <c r="C168" s="316"/>
      <c r="E168" s="272"/>
      <c r="F168" s="318"/>
      <c r="G168" s="273"/>
    </row>
    <row r="169" spans="3:7" s="264" customFormat="1" x14ac:dyDescent="0.2"/>
    <row r="170" spans="3:7" s="264" customFormat="1" x14ac:dyDescent="0.2"/>
    <row r="171" spans="3:7" s="264" customFormat="1" x14ac:dyDescent="0.2"/>
    <row r="172" spans="3:7" s="264" customFormat="1" x14ac:dyDescent="0.2"/>
    <row r="173" spans="3:7" x14ac:dyDescent="0.2">
      <c r="D173" s="271"/>
      <c r="E173" s="272"/>
      <c r="F173" s="318"/>
      <c r="G173" s="273"/>
    </row>
  </sheetData>
  <sheetProtection algorithmName="SHA-512" hashValue="AVjjvusocpDQH7CibTQnV3Fc3NpKkWVFPSNaGQUvDqLhFz6Y7t3t7bvUjBf0q/FLAO7oKyDHAePFOobHfwN6yg==" saltValue="FeP1MheqRV1cQ9Ey9lG54Q==" spinCount="100000" sheet="1" objects="1" scenarios="1"/>
  <mergeCells count="5">
    <mergeCell ref="B13:G13"/>
    <mergeCell ref="B14:G14"/>
    <mergeCell ref="B15:G15"/>
    <mergeCell ref="B16:G16"/>
    <mergeCell ref="B17:G17"/>
  </mergeCells>
  <conditionalFormatting sqref="F29 F31">
    <cfRule type="cellIs" dxfId="10" priority="2" operator="equal">
      <formula>0</formula>
    </cfRule>
  </conditionalFormatting>
  <conditionalFormatting sqref="F35:F37">
    <cfRule type="cellIs" dxfId="9" priority="3" operator="equal">
      <formula>0</formula>
    </cfRule>
  </conditionalFormatting>
  <conditionalFormatting sqref="F30">
    <cfRule type="cellIs" dxfId="8" priority="4" operator="equal">
      <formula>0</formula>
    </cfRule>
  </conditionalFormatting>
  <pageMargins left="0.98425196850393704" right="0.39370078740157483" top="0.78740157480314965" bottom="0.78740157480314965" header="0.51181102362204722" footer="0"/>
  <pageSetup paperSize="9" scale="91" firstPageNumber="0" orientation="portrait" horizontalDpi="300" verticalDpi="300" r:id="rId1"/>
  <headerFooter>
    <oddFooter>&amp;L&amp;A&amp;R&amp;9Stran &amp;P/&amp;N</oddFooter>
  </headerFooter>
  <rowBreaks count="1" manualBreakCount="1">
    <brk id="156"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DEADA"/>
  </sheetPr>
  <dimension ref="A1:AMJ173"/>
  <sheetViews>
    <sheetView view="pageBreakPreview" topLeftCell="B1" zoomScale="120" zoomScaleNormal="100" zoomScalePageLayoutView="120" workbookViewId="0">
      <selection activeCell="F22" sqref="F22:F149"/>
    </sheetView>
  </sheetViews>
  <sheetFormatPr defaultColWidth="9.33203125" defaultRowHeight="12.75" x14ac:dyDescent="0.2"/>
  <cols>
    <col min="1" max="1" width="1.83203125" style="264" hidden="1" customWidth="1"/>
    <col min="2" max="2" width="7.1640625" style="269" customWidth="1"/>
    <col min="3" max="3" width="57.33203125" style="264" customWidth="1"/>
    <col min="4" max="4" width="6.6640625" style="317" customWidth="1"/>
    <col min="5" max="5" width="9.5" style="320" customWidth="1"/>
    <col min="6" max="6" width="10.5" style="264" customWidth="1"/>
    <col min="7" max="7" width="16.5" style="264" customWidth="1"/>
    <col min="8" max="8" width="6.6640625" style="264" hidden="1" customWidth="1"/>
    <col min="9" max="9" width="18.5" style="264" hidden="1" customWidth="1"/>
    <col min="10" max="10" width="0" style="264" hidden="1" customWidth="1"/>
    <col min="11" max="1024" width="9.33203125" style="264"/>
    <col min="1025" max="16384" width="9.33203125" style="268"/>
  </cols>
  <sheetData>
    <row r="1" spans="2:10" x14ac:dyDescent="0.2">
      <c r="B1" s="265" t="s">
        <v>25</v>
      </c>
      <c r="C1" s="266" t="s">
        <v>346</v>
      </c>
      <c r="D1" s="267"/>
      <c r="E1" s="267"/>
      <c r="F1" s="267"/>
      <c r="G1" s="267"/>
    </row>
    <row r="2" spans="2:10" x14ac:dyDescent="0.2">
      <c r="B2" s="265"/>
      <c r="C2" s="266"/>
      <c r="D2" s="267"/>
      <c r="E2" s="267"/>
      <c r="F2" s="267"/>
      <c r="G2" s="267"/>
    </row>
    <row r="3" spans="2:10" x14ac:dyDescent="0.2">
      <c r="C3" s="270"/>
      <c r="D3" s="271"/>
      <c r="E3" s="272"/>
      <c r="F3" s="273"/>
    </row>
    <row r="4" spans="2:10" x14ac:dyDescent="0.2">
      <c r="B4" s="233" t="s">
        <v>71</v>
      </c>
      <c r="C4" s="274" t="s">
        <v>72</v>
      </c>
      <c r="D4" s="226"/>
      <c r="E4" s="275"/>
      <c r="F4" s="274"/>
      <c r="G4" s="276">
        <f>+G39</f>
        <v>0</v>
      </c>
      <c r="I4" s="277">
        <f t="shared" ref="I4:I9" si="0">+G4/E$22</f>
        <v>0</v>
      </c>
      <c r="J4" s="278" t="e">
        <f>+G4/G$10</f>
        <v>#DIV/0!</v>
      </c>
    </row>
    <row r="5" spans="2:10" x14ac:dyDescent="0.2">
      <c r="B5" s="233" t="s">
        <v>73</v>
      </c>
      <c r="C5" s="274" t="s">
        <v>74</v>
      </c>
      <c r="D5" s="279"/>
      <c r="E5" s="275"/>
      <c r="F5" s="274"/>
      <c r="G5" s="276">
        <f>G73</f>
        <v>0</v>
      </c>
      <c r="I5" s="277">
        <f t="shared" si="0"/>
        <v>0</v>
      </c>
      <c r="J5" s="278" t="e">
        <f t="shared" ref="J5:J9" si="1">+G5/G$10</f>
        <v>#DIV/0!</v>
      </c>
    </row>
    <row r="6" spans="2:10" x14ac:dyDescent="0.2">
      <c r="B6" s="233" t="s">
        <v>75</v>
      </c>
      <c r="C6" s="274" t="s">
        <v>76</v>
      </c>
      <c r="D6" s="226"/>
      <c r="E6" s="275"/>
      <c r="F6" s="274"/>
      <c r="G6" s="276">
        <f>+G83</f>
        <v>0</v>
      </c>
      <c r="I6" s="277">
        <f t="shared" si="0"/>
        <v>0</v>
      </c>
      <c r="J6" s="278" t="e">
        <f t="shared" si="1"/>
        <v>#DIV/0!</v>
      </c>
    </row>
    <row r="7" spans="2:10" x14ac:dyDescent="0.2">
      <c r="B7" s="233" t="s">
        <v>77</v>
      </c>
      <c r="C7" s="274" t="s">
        <v>78</v>
      </c>
      <c r="D7" s="226"/>
      <c r="E7" s="275"/>
      <c r="F7" s="274"/>
      <c r="G7" s="276">
        <f>+G109</f>
        <v>0</v>
      </c>
      <c r="I7" s="277">
        <f t="shared" si="0"/>
        <v>0</v>
      </c>
      <c r="J7" s="278" t="e">
        <f t="shared" si="1"/>
        <v>#DIV/0!</v>
      </c>
    </row>
    <row r="8" spans="2:10" x14ac:dyDescent="0.2">
      <c r="B8" s="233" t="s">
        <v>79</v>
      </c>
      <c r="C8" s="274" t="s">
        <v>80</v>
      </c>
      <c r="D8" s="226"/>
      <c r="E8" s="275"/>
      <c r="F8" s="274"/>
      <c r="G8" s="276">
        <f>+G143</f>
        <v>0</v>
      </c>
      <c r="I8" s="277">
        <f t="shared" si="0"/>
        <v>0</v>
      </c>
      <c r="J8" s="278" t="e">
        <f t="shared" si="1"/>
        <v>#DIV/0!</v>
      </c>
    </row>
    <row r="9" spans="2:10" x14ac:dyDescent="0.2">
      <c r="B9" s="233" t="s">
        <v>81</v>
      </c>
      <c r="C9" s="274" t="s">
        <v>82</v>
      </c>
      <c r="D9" s="226"/>
      <c r="E9" s="275"/>
      <c r="F9" s="274"/>
      <c r="G9" s="276">
        <f>+G150</f>
        <v>0</v>
      </c>
      <c r="I9" s="277">
        <f t="shared" si="0"/>
        <v>0</v>
      </c>
      <c r="J9" s="278" t="e">
        <f t="shared" si="1"/>
        <v>#DIV/0!</v>
      </c>
    </row>
    <row r="10" spans="2:10" x14ac:dyDescent="0.2">
      <c r="B10" s="233"/>
      <c r="C10" s="280" t="s">
        <v>31</v>
      </c>
      <c r="D10" s="281"/>
      <c r="E10" s="282"/>
      <c r="F10" s="283"/>
      <c r="G10" s="284">
        <f>SUM(G4:G9)</f>
        <v>0</v>
      </c>
      <c r="I10" s="285">
        <f>+G10/E$22</f>
        <v>0</v>
      </c>
      <c r="J10" s="286" t="e">
        <f>SUM(J4:J9)</f>
        <v>#DIV/0!</v>
      </c>
    </row>
    <row r="11" spans="2:10" x14ac:dyDescent="0.2">
      <c r="C11" s="287"/>
      <c r="D11" s="288"/>
      <c r="E11" s="289"/>
      <c r="F11" s="290"/>
      <c r="G11" s="291"/>
    </row>
    <row r="12" spans="2:10" x14ac:dyDescent="0.2">
      <c r="B12" s="292" t="s">
        <v>83</v>
      </c>
      <c r="C12" s="293"/>
      <c r="D12" s="294"/>
      <c r="E12" s="295"/>
      <c r="F12" s="296"/>
      <c r="G12" s="297"/>
    </row>
    <row r="13" spans="2:10" ht="90" customHeight="1" x14ac:dyDescent="0.2">
      <c r="B13" s="326" t="s">
        <v>84</v>
      </c>
      <c r="C13" s="326"/>
      <c r="D13" s="326"/>
      <c r="E13" s="326"/>
      <c r="F13" s="326"/>
      <c r="G13" s="326"/>
    </row>
    <row r="14" spans="2:10" ht="117.75" customHeight="1" x14ac:dyDescent="0.2">
      <c r="B14" s="326" t="s">
        <v>85</v>
      </c>
      <c r="C14" s="326"/>
      <c r="D14" s="326"/>
      <c r="E14" s="326"/>
      <c r="F14" s="326"/>
      <c r="G14" s="326"/>
    </row>
    <row r="15" spans="2:10" ht="47.45" customHeight="1" x14ac:dyDescent="0.2">
      <c r="B15" s="326" t="s">
        <v>86</v>
      </c>
      <c r="C15" s="326"/>
      <c r="D15" s="326"/>
      <c r="E15" s="326"/>
      <c r="F15" s="326"/>
      <c r="G15" s="326"/>
    </row>
    <row r="16" spans="2:10" ht="113.25" customHeight="1" x14ac:dyDescent="0.2">
      <c r="B16" s="326" t="s">
        <v>87</v>
      </c>
      <c r="C16" s="326"/>
      <c r="D16" s="326"/>
      <c r="E16" s="326"/>
      <c r="F16" s="326"/>
      <c r="G16" s="326"/>
    </row>
    <row r="17" spans="2:7" ht="37.5" customHeight="1" x14ac:dyDescent="0.2">
      <c r="B17" s="326" t="s">
        <v>88</v>
      </c>
      <c r="C17" s="326"/>
      <c r="D17" s="326"/>
      <c r="E17" s="326"/>
      <c r="F17" s="326"/>
      <c r="G17" s="326"/>
    </row>
    <row r="18" spans="2:7" x14ac:dyDescent="0.2">
      <c r="B18" s="298"/>
      <c r="C18" s="298"/>
      <c r="D18" s="298"/>
      <c r="E18" s="298"/>
      <c r="F18" s="298"/>
      <c r="G18" s="298"/>
    </row>
    <row r="19" spans="2:7" ht="25.5" x14ac:dyDescent="0.2">
      <c r="B19" s="299" t="s">
        <v>36</v>
      </c>
      <c r="C19" s="300" t="s">
        <v>37</v>
      </c>
      <c r="D19" s="299" t="s">
        <v>38</v>
      </c>
      <c r="E19" s="299" t="s">
        <v>39</v>
      </c>
      <c r="F19" s="299" t="s">
        <v>40</v>
      </c>
      <c r="G19" s="299" t="s">
        <v>41</v>
      </c>
    </row>
    <row r="20" spans="2:7" x14ac:dyDescent="0.2">
      <c r="B20" s="301" t="s">
        <v>71</v>
      </c>
      <c r="C20" s="283" t="s">
        <v>72</v>
      </c>
      <c r="D20" s="226"/>
      <c r="E20" s="275"/>
      <c r="F20" s="274"/>
      <c r="G20" s="274"/>
    </row>
    <row r="21" spans="2:7" x14ac:dyDescent="0.2">
      <c r="B21" s="233" t="s">
        <v>89</v>
      </c>
      <c r="C21" s="274" t="s">
        <v>90</v>
      </c>
      <c r="D21" s="226"/>
      <c r="E21" s="275"/>
      <c r="F21" s="274"/>
      <c r="G21" s="274"/>
    </row>
    <row r="22" spans="2:7" ht="51" x14ac:dyDescent="0.2">
      <c r="B22" s="233" t="s">
        <v>91</v>
      </c>
      <c r="C22" s="302" t="s">
        <v>92</v>
      </c>
      <c r="D22" s="223" t="s">
        <v>57</v>
      </c>
      <c r="E22" s="224">
        <v>232</v>
      </c>
      <c r="F22" s="235"/>
      <c r="G22" s="225">
        <f t="shared" ref="G22:G27" si="2">+ROUND((E22*F22),2)</f>
        <v>0</v>
      </c>
    </row>
    <row r="23" spans="2:7" ht="38.25" x14ac:dyDescent="0.2">
      <c r="B23" s="233" t="s">
        <v>93</v>
      </c>
      <c r="C23" s="222" t="s">
        <v>94</v>
      </c>
      <c r="D23" s="223" t="s">
        <v>95</v>
      </c>
      <c r="E23" s="224">
        <v>7</v>
      </c>
      <c r="F23" s="235"/>
      <c r="G23" s="225">
        <f t="shared" si="2"/>
        <v>0</v>
      </c>
    </row>
    <row r="24" spans="2:7" ht="25.5" x14ac:dyDescent="0.2">
      <c r="B24" s="233" t="s">
        <v>96</v>
      </c>
      <c r="C24" s="302" t="s">
        <v>97</v>
      </c>
      <c r="D24" s="223" t="s">
        <v>57</v>
      </c>
      <c r="E24" s="224">
        <v>232</v>
      </c>
      <c r="F24" s="235"/>
      <c r="G24" s="225">
        <f t="shared" si="2"/>
        <v>0</v>
      </c>
    </row>
    <row r="25" spans="2:7" ht="25.5" x14ac:dyDescent="0.2">
      <c r="B25" s="233" t="s">
        <v>98</v>
      </c>
      <c r="C25" s="302" t="s">
        <v>99</v>
      </c>
      <c r="D25" s="223" t="s">
        <v>64</v>
      </c>
      <c r="E25" s="303">
        <f>E24/20</f>
        <v>11.6</v>
      </c>
      <c r="F25" s="235"/>
      <c r="G25" s="225">
        <f t="shared" si="2"/>
        <v>0</v>
      </c>
    </row>
    <row r="26" spans="2:7" ht="63.75" x14ac:dyDescent="0.2">
      <c r="B26" s="233" t="s">
        <v>100</v>
      </c>
      <c r="C26" s="222" t="s">
        <v>101</v>
      </c>
      <c r="D26" s="226" t="s">
        <v>57</v>
      </c>
      <c r="E26" s="224">
        <f>+E22</f>
        <v>232</v>
      </c>
      <c r="F26" s="235"/>
      <c r="G26" s="225">
        <f t="shared" si="2"/>
        <v>0</v>
      </c>
    </row>
    <row r="27" spans="2:7" ht="51" x14ac:dyDescent="0.2">
      <c r="B27" s="233" t="s">
        <v>102</v>
      </c>
      <c r="C27" s="304" t="s">
        <v>103</v>
      </c>
      <c r="D27" s="226" t="s">
        <v>57</v>
      </c>
      <c r="E27" s="224">
        <f>+E22</f>
        <v>232</v>
      </c>
      <c r="F27" s="235"/>
      <c r="G27" s="225">
        <f t="shared" si="2"/>
        <v>0</v>
      </c>
    </row>
    <row r="28" spans="2:7" x14ac:dyDescent="0.2">
      <c r="B28" s="233" t="s">
        <v>104</v>
      </c>
      <c r="C28" s="305" t="s">
        <v>105</v>
      </c>
      <c r="D28" s="226"/>
      <c r="E28" s="224"/>
      <c r="F28" s="235"/>
      <c r="G28" s="225"/>
    </row>
    <row r="29" spans="2:7" ht="38.25" x14ac:dyDescent="0.2">
      <c r="B29" s="233" t="s">
        <v>106</v>
      </c>
      <c r="C29" s="306" t="s">
        <v>107</v>
      </c>
      <c r="D29" s="307" t="s">
        <v>57</v>
      </c>
      <c r="E29" s="308">
        <f>+E22</f>
        <v>232</v>
      </c>
      <c r="F29" s="235"/>
      <c r="G29" s="225">
        <f>E29*F29</f>
        <v>0</v>
      </c>
    </row>
    <row r="30" spans="2:7" ht="89.25" x14ac:dyDescent="0.2">
      <c r="B30" s="233" t="s">
        <v>108</v>
      </c>
      <c r="C30" s="306" t="s">
        <v>336</v>
      </c>
      <c r="D30" s="307" t="s">
        <v>57</v>
      </c>
      <c r="E30" s="308">
        <v>232</v>
      </c>
      <c r="F30" s="235"/>
      <c r="G30" s="225">
        <f>E30*F30</f>
        <v>0</v>
      </c>
    </row>
    <row r="31" spans="2:7" ht="63.75" x14ac:dyDescent="0.2">
      <c r="B31" s="233" t="s">
        <v>110</v>
      </c>
      <c r="C31" s="306" t="s">
        <v>111</v>
      </c>
      <c r="D31" s="307" t="s">
        <v>57</v>
      </c>
      <c r="E31" s="308">
        <v>232</v>
      </c>
      <c r="F31" s="235"/>
      <c r="G31" s="225">
        <f>E31*F31</f>
        <v>0</v>
      </c>
    </row>
    <row r="32" spans="2:7" ht="63.75" x14ac:dyDescent="0.2">
      <c r="B32" s="233" t="s">
        <v>112</v>
      </c>
      <c r="C32" s="309" t="s">
        <v>113</v>
      </c>
      <c r="D32" s="307" t="s">
        <v>64</v>
      </c>
      <c r="E32" s="308">
        <v>2</v>
      </c>
      <c r="F32" s="235"/>
      <c r="G32" s="225">
        <f>E32*F32</f>
        <v>0</v>
      </c>
    </row>
    <row r="33" spans="2:8" ht="38.25" x14ac:dyDescent="0.2">
      <c r="B33" s="233" t="s">
        <v>114</v>
      </c>
      <c r="C33" s="234" t="s">
        <v>115</v>
      </c>
      <c r="D33" s="226" t="s">
        <v>46</v>
      </c>
      <c r="E33" s="224">
        <v>1</v>
      </c>
      <c r="F33" s="235"/>
      <c r="G33" s="225">
        <f>E33*F33</f>
        <v>0</v>
      </c>
    </row>
    <row r="34" spans="2:8" x14ac:dyDescent="0.2">
      <c r="B34" s="233" t="s">
        <v>116</v>
      </c>
      <c r="C34" s="234" t="s">
        <v>117</v>
      </c>
      <c r="D34" s="226"/>
      <c r="E34" s="224"/>
      <c r="F34" s="235"/>
      <c r="G34" s="225"/>
    </row>
    <row r="35" spans="2:8" ht="25.5" x14ac:dyDescent="0.2">
      <c r="B35" s="233" t="s">
        <v>118</v>
      </c>
      <c r="C35" s="306" t="s">
        <v>119</v>
      </c>
      <c r="D35" s="307" t="s">
        <v>120</v>
      </c>
      <c r="E35" s="308">
        <v>10</v>
      </c>
      <c r="F35" s="235"/>
      <c r="G35" s="225">
        <f>E35*F35</f>
        <v>0</v>
      </c>
      <c r="H35" s="264" t="s">
        <v>330</v>
      </c>
    </row>
    <row r="36" spans="2:8" ht="25.5" x14ac:dyDescent="0.2">
      <c r="B36" s="233" t="s">
        <v>121</v>
      </c>
      <c r="C36" s="306" t="s">
        <v>122</v>
      </c>
      <c r="D36" s="307" t="s">
        <v>120</v>
      </c>
      <c r="E36" s="308">
        <v>5</v>
      </c>
      <c r="F36" s="235"/>
      <c r="G36" s="225">
        <f>E36*F36</f>
        <v>0</v>
      </c>
    </row>
    <row r="37" spans="2:8" ht="38.25" x14ac:dyDescent="0.2">
      <c r="B37" s="233" t="s">
        <v>123</v>
      </c>
      <c r="C37" s="234" t="s">
        <v>124</v>
      </c>
      <c r="D37" s="307" t="s">
        <v>120</v>
      </c>
      <c r="E37" s="308">
        <v>12</v>
      </c>
      <c r="F37" s="235"/>
      <c r="G37" s="225">
        <f>E37*F37</f>
        <v>0</v>
      </c>
      <c r="H37" s="264" t="s">
        <v>331</v>
      </c>
    </row>
    <row r="38" spans="2:8" ht="38.25" x14ac:dyDescent="0.2">
      <c r="B38" s="233" t="s">
        <v>125</v>
      </c>
      <c r="C38" s="234" t="s">
        <v>126</v>
      </c>
      <c r="D38" s="226"/>
      <c r="E38" s="224"/>
      <c r="F38" s="235"/>
      <c r="G38" s="225">
        <f>+ROUND((SUM(G22:G37)*0.1),-1)</f>
        <v>0</v>
      </c>
    </row>
    <row r="39" spans="2:8" x14ac:dyDescent="0.2">
      <c r="B39" s="233"/>
      <c r="C39" s="283" t="s">
        <v>127</v>
      </c>
      <c r="D39" s="226"/>
      <c r="E39" s="224"/>
      <c r="F39" s="235"/>
      <c r="G39" s="310">
        <f>SUM(G22:G38)</f>
        <v>0</v>
      </c>
    </row>
    <row r="40" spans="2:8" x14ac:dyDescent="0.2">
      <c r="B40" s="301" t="s">
        <v>73</v>
      </c>
      <c r="C40" s="283" t="s">
        <v>74</v>
      </c>
      <c r="D40" s="226"/>
      <c r="E40" s="275"/>
      <c r="F40" s="329"/>
      <c r="G40" s="274"/>
    </row>
    <row r="41" spans="2:8" x14ac:dyDescent="0.2">
      <c r="B41" s="233" t="s">
        <v>128</v>
      </c>
      <c r="C41" s="274" t="s">
        <v>129</v>
      </c>
      <c r="D41" s="226"/>
      <c r="E41" s="275"/>
      <c r="F41" s="329"/>
      <c r="G41" s="274"/>
    </row>
    <row r="42" spans="2:8" ht="63.75" hidden="1" x14ac:dyDescent="0.2">
      <c r="B42" s="233" t="s">
        <v>130</v>
      </c>
      <c r="C42" s="311" t="s">
        <v>131</v>
      </c>
      <c r="D42" s="223" t="s">
        <v>132</v>
      </c>
      <c r="E42" s="224"/>
      <c r="F42" s="235"/>
      <c r="G42" s="225">
        <f t="shared" ref="G42:G50" si="3">+ROUND((E42*F42),2)</f>
        <v>0</v>
      </c>
      <c r="H42" s="264" t="s">
        <v>133</v>
      </c>
    </row>
    <row r="43" spans="2:8" ht="51" x14ac:dyDescent="0.2">
      <c r="B43" s="233" t="s">
        <v>134</v>
      </c>
      <c r="C43" s="234" t="s">
        <v>135</v>
      </c>
      <c r="D43" s="226" t="s">
        <v>136</v>
      </c>
      <c r="E43" s="224">
        <f>232*3.5</f>
        <v>812</v>
      </c>
      <c r="F43" s="235"/>
      <c r="G43" s="225">
        <f t="shared" si="3"/>
        <v>0</v>
      </c>
    </row>
    <row r="44" spans="2:8" ht="51" hidden="1" x14ac:dyDescent="0.2">
      <c r="B44" s="233" t="s">
        <v>137</v>
      </c>
      <c r="C44" s="234" t="s">
        <v>138</v>
      </c>
      <c r="D44" s="226" t="s">
        <v>136</v>
      </c>
      <c r="E44" s="224"/>
      <c r="F44" s="235"/>
      <c r="G44" s="225">
        <f t="shared" si="3"/>
        <v>0</v>
      </c>
    </row>
    <row r="45" spans="2:8" ht="63.75" hidden="1" x14ac:dyDescent="0.2">
      <c r="B45" s="233" t="s">
        <v>139</v>
      </c>
      <c r="C45" s="234" t="s">
        <v>140</v>
      </c>
      <c r="D45" s="226" t="s">
        <v>136</v>
      </c>
      <c r="E45" s="224"/>
      <c r="F45" s="235"/>
      <c r="G45" s="225">
        <f t="shared" si="3"/>
        <v>0</v>
      </c>
    </row>
    <row r="46" spans="2:8" ht="25.5" x14ac:dyDescent="0.2">
      <c r="B46" s="233" t="s">
        <v>141</v>
      </c>
      <c r="C46" s="302" t="s">
        <v>142</v>
      </c>
      <c r="D46" s="223" t="s">
        <v>57</v>
      </c>
      <c r="E46" s="224">
        <v>10</v>
      </c>
      <c r="F46" s="235"/>
      <c r="G46" s="225">
        <f t="shared" si="3"/>
        <v>0</v>
      </c>
    </row>
    <row r="47" spans="2:8" ht="25.5" hidden="1" x14ac:dyDescent="0.2">
      <c r="B47" s="233" t="s">
        <v>143</v>
      </c>
      <c r="C47" s="302" t="s">
        <v>144</v>
      </c>
      <c r="D47" s="223" t="s">
        <v>57</v>
      </c>
      <c r="E47" s="224"/>
      <c r="F47" s="235"/>
      <c r="G47" s="225">
        <f t="shared" si="3"/>
        <v>0</v>
      </c>
    </row>
    <row r="48" spans="2:8" ht="63.75" hidden="1" x14ac:dyDescent="0.2">
      <c r="B48" s="233" t="s">
        <v>145</v>
      </c>
      <c r="C48" s="311" t="s">
        <v>146</v>
      </c>
      <c r="D48" s="223" t="s">
        <v>132</v>
      </c>
      <c r="E48" s="224"/>
      <c r="F48" s="235"/>
      <c r="G48" s="225">
        <f t="shared" si="3"/>
        <v>0</v>
      </c>
    </row>
    <row r="49" spans="2:8" ht="44.25" hidden="1" customHeight="1" x14ac:dyDescent="0.2">
      <c r="B49" s="233" t="s">
        <v>147</v>
      </c>
      <c r="C49" s="234" t="s">
        <v>148</v>
      </c>
      <c r="D49" s="226" t="s">
        <v>57</v>
      </c>
      <c r="E49" s="224"/>
      <c r="F49" s="235"/>
      <c r="G49" s="225">
        <f t="shared" si="3"/>
        <v>0</v>
      </c>
      <c r="H49" s="264" t="s">
        <v>149</v>
      </c>
    </row>
    <row r="50" spans="2:8" ht="63.75" x14ac:dyDescent="0.2">
      <c r="B50" s="233" t="s">
        <v>150</v>
      </c>
      <c r="C50" s="234" t="s">
        <v>151</v>
      </c>
      <c r="D50" s="226" t="s">
        <v>132</v>
      </c>
      <c r="E50" s="224">
        <f>232*(3.5-1.7)*0.6</f>
        <v>250.56</v>
      </c>
      <c r="F50" s="235"/>
      <c r="G50" s="225">
        <f t="shared" si="3"/>
        <v>0</v>
      </c>
      <c r="H50" s="264" t="s">
        <v>152</v>
      </c>
    </row>
    <row r="51" spans="2:8" x14ac:dyDescent="0.2">
      <c r="B51" s="233" t="s">
        <v>153</v>
      </c>
      <c r="C51" s="274" t="s">
        <v>154</v>
      </c>
      <c r="D51" s="226"/>
      <c r="E51" s="224"/>
      <c r="F51" s="235"/>
      <c r="G51" s="225"/>
    </row>
    <row r="52" spans="2:8" ht="38.25" x14ac:dyDescent="0.2">
      <c r="B52" s="233" t="s">
        <v>155</v>
      </c>
      <c r="C52" s="234" t="s">
        <v>156</v>
      </c>
      <c r="D52" s="226" t="s">
        <v>136</v>
      </c>
      <c r="E52" s="315">
        <f>+(220+12)*4</f>
        <v>928</v>
      </c>
      <c r="F52" s="235"/>
      <c r="G52" s="225">
        <f t="shared" ref="G52:G67" si="4">+ROUND((E52*F52),2)</f>
        <v>0</v>
      </c>
      <c r="H52" s="264" t="s">
        <v>152</v>
      </c>
    </row>
    <row r="53" spans="2:8" ht="51" x14ac:dyDescent="0.2">
      <c r="B53" s="233" t="s">
        <v>157</v>
      </c>
      <c r="C53" s="234" t="s">
        <v>158</v>
      </c>
      <c r="D53" s="226" t="s">
        <v>132</v>
      </c>
      <c r="E53" s="224">
        <f>232*(3.5-1.7)*0.4</f>
        <v>167.04000000000002</v>
      </c>
      <c r="F53" s="235"/>
      <c r="G53" s="225">
        <f t="shared" si="4"/>
        <v>0</v>
      </c>
    </row>
    <row r="54" spans="2:8" ht="25.5" x14ac:dyDescent="0.2">
      <c r="B54" s="233" t="s">
        <v>159</v>
      </c>
      <c r="C54" s="234" t="s">
        <v>160</v>
      </c>
      <c r="D54" s="226" t="s">
        <v>136</v>
      </c>
      <c r="E54" s="224">
        <f>232*3</f>
        <v>696</v>
      </c>
      <c r="F54" s="235"/>
      <c r="G54" s="225">
        <f t="shared" si="4"/>
        <v>0</v>
      </c>
    </row>
    <row r="55" spans="2:8" ht="51" x14ac:dyDescent="0.2">
      <c r="B55" s="233" t="s">
        <v>161</v>
      </c>
      <c r="C55" s="234" t="s">
        <v>337</v>
      </c>
      <c r="D55" s="226" t="s">
        <v>132</v>
      </c>
      <c r="E55" s="224">
        <f>232*3*0.2</f>
        <v>139.20000000000002</v>
      </c>
      <c r="F55" s="235"/>
      <c r="G55" s="225">
        <f t="shared" si="4"/>
        <v>0</v>
      </c>
    </row>
    <row r="56" spans="2:8" ht="38.25" x14ac:dyDescent="0.2">
      <c r="B56" s="233" t="s">
        <v>163</v>
      </c>
      <c r="C56" s="234" t="s">
        <v>164</v>
      </c>
      <c r="D56" s="226" t="s">
        <v>46</v>
      </c>
      <c r="E56" s="224">
        <v>1</v>
      </c>
      <c r="F56" s="235"/>
      <c r="G56" s="225">
        <f t="shared" si="4"/>
        <v>0</v>
      </c>
    </row>
    <row r="57" spans="2:8" ht="25.5" x14ac:dyDescent="0.2">
      <c r="B57" s="233" t="s">
        <v>165</v>
      </c>
      <c r="C57" s="234" t="s">
        <v>166</v>
      </c>
      <c r="D57" s="226" t="s">
        <v>136</v>
      </c>
      <c r="E57" s="224">
        <f>+E43+E44</f>
        <v>812</v>
      </c>
      <c r="F57" s="235"/>
      <c r="G57" s="225">
        <f t="shared" si="4"/>
        <v>0</v>
      </c>
    </row>
    <row r="58" spans="2:8" ht="25.5" x14ac:dyDescent="0.2">
      <c r="B58" s="233" t="s">
        <v>167</v>
      </c>
      <c r="C58" s="234" t="s">
        <v>168</v>
      </c>
      <c r="D58" s="226" t="s">
        <v>136</v>
      </c>
      <c r="E58" s="224">
        <f>+E43+E44</f>
        <v>812</v>
      </c>
      <c r="F58" s="235"/>
      <c r="G58" s="225">
        <f t="shared" si="4"/>
        <v>0</v>
      </c>
    </row>
    <row r="59" spans="2:8" ht="51" x14ac:dyDescent="0.2">
      <c r="B59" s="233" t="s">
        <v>169</v>
      </c>
      <c r="C59" s="234" t="s">
        <v>170</v>
      </c>
      <c r="D59" s="226" t="s">
        <v>171</v>
      </c>
      <c r="E59" s="224">
        <f>E46+E47</f>
        <v>10</v>
      </c>
      <c r="F59" s="235"/>
      <c r="G59" s="225">
        <f t="shared" si="4"/>
        <v>0</v>
      </c>
    </row>
    <row r="60" spans="2:8" ht="38.25" x14ac:dyDescent="0.2">
      <c r="B60" s="233" t="s">
        <v>172</v>
      </c>
      <c r="C60" s="234" t="s">
        <v>173</v>
      </c>
      <c r="D60" s="226" t="s">
        <v>136</v>
      </c>
      <c r="E60" s="224">
        <f>E43</f>
        <v>812</v>
      </c>
      <c r="F60" s="235"/>
      <c r="G60" s="225">
        <f t="shared" si="4"/>
        <v>0</v>
      </c>
      <c r="H60" s="264" t="s">
        <v>174</v>
      </c>
    </row>
    <row r="61" spans="2:8" ht="38.25" x14ac:dyDescent="0.2">
      <c r="B61" s="233" t="s">
        <v>175</v>
      </c>
      <c r="C61" s="234" t="s">
        <v>176</v>
      </c>
      <c r="D61" s="226" t="s">
        <v>136</v>
      </c>
      <c r="E61" s="224">
        <f>E43</f>
        <v>812</v>
      </c>
      <c r="F61" s="235"/>
      <c r="G61" s="225">
        <f t="shared" si="4"/>
        <v>0</v>
      </c>
      <c r="H61" s="264" t="s">
        <v>174</v>
      </c>
    </row>
    <row r="62" spans="2:8" ht="38.25" hidden="1" x14ac:dyDescent="0.2">
      <c r="B62" s="233" t="s">
        <v>177</v>
      </c>
      <c r="C62" s="234" t="s">
        <v>178</v>
      </c>
      <c r="D62" s="226" t="s">
        <v>136</v>
      </c>
      <c r="E62" s="224"/>
      <c r="F62" s="235"/>
      <c r="G62" s="225">
        <f t="shared" si="4"/>
        <v>0</v>
      </c>
      <c r="H62" s="264" t="s">
        <v>179</v>
      </c>
    </row>
    <row r="63" spans="2:8" ht="38.25" hidden="1" x14ac:dyDescent="0.2">
      <c r="B63" s="233" t="s">
        <v>180</v>
      </c>
      <c r="C63" s="234" t="s">
        <v>181</v>
      </c>
      <c r="D63" s="226" t="s">
        <v>136</v>
      </c>
      <c r="E63" s="224"/>
      <c r="F63" s="235"/>
      <c r="G63" s="225">
        <f t="shared" si="4"/>
        <v>0</v>
      </c>
      <c r="H63" s="264" t="s">
        <v>179</v>
      </c>
    </row>
    <row r="64" spans="2:8" ht="38.25" hidden="1" x14ac:dyDescent="0.2">
      <c r="B64" s="233" t="s">
        <v>182</v>
      </c>
      <c r="C64" s="234" t="s">
        <v>183</v>
      </c>
      <c r="D64" s="226" t="s">
        <v>136</v>
      </c>
      <c r="E64" s="224"/>
      <c r="F64" s="235"/>
      <c r="G64" s="225">
        <f t="shared" si="4"/>
        <v>0</v>
      </c>
      <c r="H64" s="264" t="s">
        <v>179</v>
      </c>
    </row>
    <row r="65" spans="2:8" ht="25.5" hidden="1" x14ac:dyDescent="0.2">
      <c r="B65" s="233" t="s">
        <v>184</v>
      </c>
      <c r="C65" s="234" t="s">
        <v>185</v>
      </c>
      <c r="D65" s="226" t="s">
        <v>57</v>
      </c>
      <c r="E65" s="224"/>
      <c r="F65" s="235"/>
      <c r="G65" s="225">
        <f t="shared" si="4"/>
        <v>0</v>
      </c>
    </row>
    <row r="66" spans="2:8" ht="25.5" hidden="1" x14ac:dyDescent="0.2">
      <c r="B66" s="233" t="s">
        <v>186</v>
      </c>
      <c r="C66" s="234" t="s">
        <v>187</v>
      </c>
      <c r="D66" s="226" t="s">
        <v>57</v>
      </c>
      <c r="E66" s="224"/>
      <c r="F66" s="235"/>
      <c r="G66" s="225">
        <f t="shared" si="4"/>
        <v>0</v>
      </c>
    </row>
    <row r="67" spans="2:8" x14ac:dyDescent="0.2">
      <c r="B67" s="233" t="s">
        <v>188</v>
      </c>
      <c r="C67" s="234" t="s">
        <v>189</v>
      </c>
      <c r="D67" s="226" t="s">
        <v>57</v>
      </c>
      <c r="E67" s="224">
        <v>232</v>
      </c>
      <c r="F67" s="235"/>
      <c r="G67" s="225">
        <f t="shared" si="4"/>
        <v>0</v>
      </c>
    </row>
    <row r="68" spans="2:8" ht="25.5" x14ac:dyDescent="0.2">
      <c r="B68" s="233" t="s">
        <v>190</v>
      </c>
      <c r="C68" s="234" t="s">
        <v>191</v>
      </c>
      <c r="D68" s="226" t="s">
        <v>57</v>
      </c>
      <c r="E68" s="224">
        <v>232</v>
      </c>
      <c r="F68" s="235"/>
      <c r="G68" s="313">
        <f>+E68*F68</f>
        <v>0</v>
      </c>
    </row>
    <row r="69" spans="2:8" ht="44.25" customHeight="1" x14ac:dyDescent="0.2">
      <c r="B69" s="233" t="s">
        <v>192</v>
      </c>
      <c r="C69" s="234" t="s">
        <v>193</v>
      </c>
      <c r="D69" s="226" t="s">
        <v>64</v>
      </c>
      <c r="E69" s="224">
        <v>4</v>
      </c>
      <c r="F69" s="235"/>
      <c r="G69" s="313">
        <f>+E69*F69</f>
        <v>0</v>
      </c>
    </row>
    <row r="70" spans="2:8" ht="63.75" hidden="1" x14ac:dyDescent="0.2">
      <c r="B70" s="233" t="s">
        <v>194</v>
      </c>
      <c r="C70" s="234" t="s">
        <v>195</v>
      </c>
      <c r="D70" s="226" t="s">
        <v>57</v>
      </c>
      <c r="E70" s="224"/>
      <c r="F70" s="235"/>
      <c r="G70" s="225">
        <f>+ROUND((E70*F70),2)</f>
        <v>0</v>
      </c>
    </row>
    <row r="71" spans="2:8" ht="63.75" hidden="1" x14ac:dyDescent="0.2">
      <c r="B71" s="233" t="s">
        <v>196</v>
      </c>
      <c r="C71" s="234" t="s">
        <v>197</v>
      </c>
      <c r="D71" s="226" t="s">
        <v>57</v>
      </c>
      <c r="E71" s="224"/>
      <c r="F71" s="235"/>
      <c r="G71" s="225">
        <f>+ROUND((E71*F71),2)</f>
        <v>0</v>
      </c>
    </row>
    <row r="72" spans="2:8" ht="38.25" x14ac:dyDescent="0.2">
      <c r="B72" s="233" t="s">
        <v>198</v>
      </c>
      <c r="C72" s="234" t="s">
        <v>126</v>
      </c>
      <c r="D72" s="226"/>
      <c r="E72" s="224"/>
      <c r="F72" s="235"/>
      <c r="G72" s="225">
        <f>+ROUND((SUM(G42:G70)*0.1),-1)</f>
        <v>0</v>
      </c>
    </row>
    <row r="73" spans="2:8" x14ac:dyDescent="0.2">
      <c r="B73" s="233"/>
      <c r="C73" s="283" t="s">
        <v>199</v>
      </c>
      <c r="D73" s="226"/>
      <c r="E73" s="224"/>
      <c r="F73" s="235"/>
      <c r="G73" s="310">
        <f>SUM(G42:G72)</f>
        <v>0</v>
      </c>
    </row>
    <row r="74" spans="2:8" x14ac:dyDescent="0.2">
      <c r="B74" s="301" t="s">
        <v>75</v>
      </c>
      <c r="C74" s="283" t="s">
        <v>76</v>
      </c>
      <c r="D74" s="226"/>
      <c r="E74" s="224"/>
      <c r="F74" s="235"/>
      <c r="G74" s="225"/>
      <c r="H74" s="314"/>
    </row>
    <row r="75" spans="2:8" x14ac:dyDescent="0.2">
      <c r="B75" s="233" t="s">
        <v>200</v>
      </c>
      <c r="C75" s="234" t="s">
        <v>129</v>
      </c>
      <c r="D75" s="226"/>
      <c r="E75" s="224"/>
      <c r="F75" s="235"/>
      <c r="G75" s="225"/>
      <c r="H75" s="314"/>
    </row>
    <row r="76" spans="2:8" ht="38.25" x14ac:dyDescent="0.2">
      <c r="B76" s="233" t="s">
        <v>201</v>
      </c>
      <c r="C76" s="234" t="s">
        <v>202</v>
      </c>
      <c r="D76" s="226" t="s">
        <v>57</v>
      </c>
      <c r="E76" s="224">
        <v>30</v>
      </c>
      <c r="F76" s="235"/>
      <c r="G76" s="225">
        <f>+ROUND((E76*F76),2)</f>
        <v>0</v>
      </c>
      <c r="H76" s="314"/>
    </row>
    <row r="77" spans="2:8" ht="38.25" x14ac:dyDescent="0.2">
      <c r="B77" s="233" t="s">
        <v>203</v>
      </c>
      <c r="C77" s="234" t="s">
        <v>204</v>
      </c>
      <c r="D77" s="226" t="s">
        <v>64</v>
      </c>
      <c r="E77" s="224">
        <v>1</v>
      </c>
      <c r="F77" s="235"/>
      <c r="G77" s="225">
        <f>+ROUND((E77*F77),2)</f>
        <v>0</v>
      </c>
      <c r="H77" s="314"/>
    </row>
    <row r="78" spans="2:8" ht="38.25" hidden="1" x14ac:dyDescent="0.2">
      <c r="B78" s="233" t="s">
        <v>338</v>
      </c>
      <c r="C78" s="234" t="s">
        <v>339</v>
      </c>
      <c r="D78" s="226" t="s">
        <v>132</v>
      </c>
      <c r="E78" s="224"/>
      <c r="F78" s="235"/>
      <c r="G78" s="225">
        <f>+ROUND((E78*F78),2)</f>
        <v>0</v>
      </c>
      <c r="H78" s="314"/>
    </row>
    <row r="79" spans="2:8" x14ac:dyDescent="0.2">
      <c r="B79" s="233" t="s">
        <v>205</v>
      </c>
      <c r="C79" s="234" t="s">
        <v>206</v>
      </c>
      <c r="D79" s="226"/>
      <c r="E79" s="224"/>
      <c r="F79" s="235"/>
      <c r="G79" s="225"/>
      <c r="H79" s="314"/>
    </row>
    <row r="80" spans="2:8" ht="51" x14ac:dyDescent="0.2">
      <c r="B80" s="233" t="s">
        <v>207</v>
      </c>
      <c r="C80" s="234" t="s">
        <v>208</v>
      </c>
      <c r="D80" s="226" t="s">
        <v>57</v>
      </c>
      <c r="E80" s="224">
        <v>10</v>
      </c>
      <c r="F80" s="235"/>
      <c r="G80" s="225">
        <f>+ROUND((E80*F80),2)</f>
        <v>0</v>
      </c>
      <c r="H80" s="314"/>
    </row>
    <row r="81" spans="2:10" ht="63.75" x14ac:dyDescent="0.2">
      <c r="B81" s="233" t="s">
        <v>340</v>
      </c>
      <c r="C81" s="234" t="s">
        <v>341</v>
      </c>
      <c r="D81" s="226" t="s">
        <v>136</v>
      </c>
      <c r="E81" s="224">
        <f>3*60</f>
        <v>180</v>
      </c>
      <c r="F81" s="235"/>
      <c r="G81" s="225">
        <f>+ROUND((E81*F81),2)</f>
        <v>0</v>
      </c>
      <c r="H81" s="314"/>
    </row>
    <row r="82" spans="2:10" ht="38.25" x14ac:dyDescent="0.2">
      <c r="B82" s="233" t="s">
        <v>209</v>
      </c>
      <c r="C82" s="234" t="s">
        <v>126</v>
      </c>
      <c r="D82" s="226"/>
      <c r="E82" s="224"/>
      <c r="F82" s="235"/>
      <c r="G82" s="225">
        <f>+ROUND((SUM(G76:G80)*0.1),-1)</f>
        <v>0</v>
      </c>
    </row>
    <row r="83" spans="2:10" x14ac:dyDescent="0.2">
      <c r="B83" s="233"/>
      <c r="C83" s="283" t="s">
        <v>210</v>
      </c>
      <c r="D83" s="226"/>
      <c r="E83" s="224"/>
      <c r="F83" s="235"/>
      <c r="G83" s="310">
        <f>SUM(G76:G82)</f>
        <v>0</v>
      </c>
    </row>
    <row r="84" spans="2:10" x14ac:dyDescent="0.2">
      <c r="B84" s="301" t="s">
        <v>77</v>
      </c>
      <c r="C84" s="283" t="s">
        <v>78</v>
      </c>
      <c r="D84" s="226"/>
      <c r="E84" s="224"/>
      <c r="F84" s="235"/>
      <c r="G84" s="225"/>
    </row>
    <row r="85" spans="2:10" ht="76.5" x14ac:dyDescent="0.2">
      <c r="B85" s="301"/>
      <c r="C85" s="304" t="s">
        <v>211</v>
      </c>
      <c r="D85" s="226"/>
      <c r="E85" s="224"/>
      <c r="F85" s="235"/>
      <c r="G85" s="225"/>
    </row>
    <row r="86" spans="2:10" x14ac:dyDescent="0.2">
      <c r="B86" s="233"/>
      <c r="C86" s="234" t="s">
        <v>213</v>
      </c>
      <c r="D86" s="226"/>
      <c r="E86" s="224"/>
      <c r="F86" s="235"/>
      <c r="G86" s="225"/>
    </row>
    <row r="87" spans="2:10" ht="51" x14ac:dyDescent="0.2">
      <c r="B87" s="233" t="s">
        <v>214</v>
      </c>
      <c r="C87" s="234" t="s">
        <v>215</v>
      </c>
      <c r="D87" s="226" t="s">
        <v>136</v>
      </c>
      <c r="E87" s="224">
        <v>840</v>
      </c>
      <c r="F87" s="235"/>
      <c r="G87" s="225">
        <f t="shared" ref="G87:G94" si="5">+ROUND((E87*F87),2)</f>
        <v>0</v>
      </c>
      <c r="I87" s="273"/>
    </row>
    <row r="88" spans="2:10" ht="51" x14ac:dyDescent="0.2">
      <c r="B88" s="233" t="s">
        <v>216</v>
      </c>
      <c r="C88" s="234" t="s">
        <v>217</v>
      </c>
      <c r="D88" s="226" t="s">
        <v>136</v>
      </c>
      <c r="E88" s="224">
        <v>210</v>
      </c>
      <c r="F88" s="235"/>
      <c r="G88" s="225">
        <f t="shared" si="5"/>
        <v>0</v>
      </c>
      <c r="I88" s="273"/>
    </row>
    <row r="89" spans="2:10" ht="25.5" x14ac:dyDescent="0.2">
      <c r="B89" s="233" t="s">
        <v>218</v>
      </c>
      <c r="C89" s="234" t="s">
        <v>219</v>
      </c>
      <c r="D89" s="226" t="s">
        <v>132</v>
      </c>
      <c r="E89" s="224">
        <v>754.33</v>
      </c>
      <c r="F89" s="235"/>
      <c r="G89" s="225">
        <f t="shared" si="5"/>
        <v>0</v>
      </c>
    </row>
    <row r="90" spans="2:10" ht="25.5" hidden="1" x14ac:dyDescent="0.2">
      <c r="B90" s="233" t="s">
        <v>220</v>
      </c>
      <c r="C90" s="234" t="s">
        <v>221</v>
      </c>
      <c r="D90" s="226" t="s">
        <v>132</v>
      </c>
      <c r="E90" s="224"/>
      <c r="F90" s="235"/>
      <c r="G90" s="225">
        <f t="shared" si="5"/>
        <v>0</v>
      </c>
    </row>
    <row r="91" spans="2:10" ht="38.25" x14ac:dyDescent="0.2">
      <c r="B91" s="233" t="s">
        <v>222</v>
      </c>
      <c r="C91" s="234" t="s">
        <v>223</v>
      </c>
      <c r="D91" s="226" t="s">
        <v>132</v>
      </c>
      <c r="E91" s="224">
        <v>58.4</v>
      </c>
      <c r="F91" s="235"/>
      <c r="G91" s="225">
        <f t="shared" si="5"/>
        <v>0</v>
      </c>
      <c r="J91" s="273"/>
    </row>
    <row r="92" spans="2:10" ht="25.5" x14ac:dyDescent="0.2">
      <c r="B92" s="233" t="s">
        <v>224</v>
      </c>
      <c r="C92" s="234" t="s">
        <v>225</v>
      </c>
      <c r="D92" s="226" t="s">
        <v>132</v>
      </c>
      <c r="E92" s="224">
        <f>+E97+E98</f>
        <v>157.76</v>
      </c>
      <c r="F92" s="235"/>
      <c r="G92" s="225">
        <f t="shared" si="5"/>
        <v>0</v>
      </c>
      <c r="I92" s="264">
        <f>+E89+E90+E91+E92</f>
        <v>970.49</v>
      </c>
      <c r="J92" s="273"/>
    </row>
    <row r="93" spans="2:10" ht="25.5" x14ac:dyDescent="0.2">
      <c r="B93" s="233" t="s">
        <v>224</v>
      </c>
      <c r="C93" s="234" t="s">
        <v>227</v>
      </c>
      <c r="D93" s="226" t="s">
        <v>132</v>
      </c>
      <c r="E93" s="224">
        <f>+(E89+E90+E91)*0.02</f>
        <v>16.2546</v>
      </c>
      <c r="F93" s="235"/>
      <c r="G93" s="225">
        <f t="shared" si="5"/>
        <v>0</v>
      </c>
    </row>
    <row r="94" spans="2:10" ht="25.5" x14ac:dyDescent="0.2">
      <c r="B94" s="233" t="s">
        <v>226</v>
      </c>
      <c r="C94" s="234" t="s">
        <v>229</v>
      </c>
      <c r="D94" s="226" t="s">
        <v>120</v>
      </c>
      <c r="E94" s="224">
        <v>200</v>
      </c>
      <c r="F94" s="235"/>
      <c r="G94" s="225">
        <f t="shared" si="5"/>
        <v>0</v>
      </c>
    </row>
    <row r="95" spans="2:10" x14ac:dyDescent="0.2">
      <c r="B95" s="233" t="s">
        <v>230</v>
      </c>
      <c r="C95" s="234" t="s">
        <v>231</v>
      </c>
      <c r="D95" s="226"/>
      <c r="E95" s="224"/>
      <c r="F95" s="235"/>
      <c r="G95" s="225"/>
    </row>
    <row r="96" spans="2:10" ht="25.5" x14ac:dyDescent="0.2">
      <c r="B96" s="233" t="s">
        <v>232</v>
      </c>
      <c r="C96" s="234" t="s">
        <v>233</v>
      </c>
      <c r="D96" s="226" t="s">
        <v>136</v>
      </c>
      <c r="E96" s="224">
        <f>E22*1.7</f>
        <v>394.4</v>
      </c>
      <c r="F96" s="235"/>
      <c r="G96" s="225">
        <f t="shared" ref="G96:G104" si="6">+ROUND((E96*F96),2)</f>
        <v>0</v>
      </c>
    </row>
    <row r="97" spans="2:9" ht="76.5" hidden="1" x14ac:dyDescent="0.2">
      <c r="B97" s="233" t="s">
        <v>234</v>
      </c>
      <c r="C97" s="234" t="s">
        <v>235</v>
      </c>
      <c r="D97" s="226" t="s">
        <v>132</v>
      </c>
      <c r="E97" s="224"/>
      <c r="F97" s="235"/>
      <c r="G97" s="225">
        <f t="shared" si="6"/>
        <v>0</v>
      </c>
    </row>
    <row r="98" spans="2:9" ht="114.75" x14ac:dyDescent="0.2">
      <c r="B98" s="233" t="s">
        <v>236</v>
      </c>
      <c r="C98" s="234" t="s">
        <v>342</v>
      </c>
      <c r="D98" s="226" t="s">
        <v>132</v>
      </c>
      <c r="E98" s="224">
        <f>E22*1.7*0.4*100%</f>
        <v>157.76</v>
      </c>
      <c r="F98" s="235"/>
      <c r="G98" s="225">
        <f t="shared" si="6"/>
        <v>0</v>
      </c>
    </row>
    <row r="99" spans="2:9" ht="76.5" x14ac:dyDescent="0.2">
      <c r="B99" s="233" t="s">
        <v>238</v>
      </c>
      <c r="C99" s="234" t="s">
        <v>239</v>
      </c>
      <c r="D99" s="226" t="s">
        <v>132</v>
      </c>
      <c r="E99" s="224">
        <v>57.6</v>
      </c>
      <c r="F99" s="235"/>
      <c r="G99" s="225">
        <f t="shared" si="6"/>
        <v>0</v>
      </c>
    </row>
    <row r="100" spans="2:9" ht="63.75" x14ac:dyDescent="0.2">
      <c r="B100" s="233" t="s">
        <v>240</v>
      </c>
      <c r="C100" s="234" t="s">
        <v>241</v>
      </c>
      <c r="D100" s="226" t="s">
        <v>132</v>
      </c>
      <c r="E100" s="224">
        <v>171.44</v>
      </c>
      <c r="F100" s="235"/>
      <c r="G100" s="225">
        <f t="shared" si="6"/>
        <v>0</v>
      </c>
    </row>
    <row r="101" spans="2:9" ht="51" x14ac:dyDescent="0.2">
      <c r="B101" s="233" t="s">
        <v>242</v>
      </c>
      <c r="C101" s="234" t="s">
        <v>243</v>
      </c>
      <c r="D101" s="226" t="s">
        <v>136</v>
      </c>
      <c r="E101" s="224">
        <f>4*E22</f>
        <v>928</v>
      </c>
      <c r="F101" s="235"/>
      <c r="G101" s="225">
        <f t="shared" si="6"/>
        <v>0</v>
      </c>
    </row>
    <row r="102" spans="2:9" ht="63.75" x14ac:dyDescent="0.2">
      <c r="B102" s="233" t="s">
        <v>244</v>
      </c>
      <c r="C102" s="234" t="s">
        <v>245</v>
      </c>
      <c r="D102" s="226" t="s">
        <v>132</v>
      </c>
      <c r="E102" s="224">
        <f>((E89+E90+E91)-E99-E100-E53-E55-0.05*E112-0.07*E113-0.01*E114)*0.8</f>
        <v>209.16000000000005</v>
      </c>
      <c r="F102" s="235"/>
      <c r="G102" s="225">
        <f t="shared" si="6"/>
        <v>0</v>
      </c>
    </row>
    <row r="103" spans="2:9" ht="63.75" x14ac:dyDescent="0.2">
      <c r="B103" s="233" t="s">
        <v>246</v>
      </c>
      <c r="C103" s="234" t="s">
        <v>247</v>
      </c>
      <c r="D103" s="226" t="s">
        <v>132</v>
      </c>
      <c r="E103" s="315">
        <f>((E89+E90+E91)-E99-E100-E53-E55-0.05*E112-0.07*E113-0.01*E114)*0.2</f>
        <v>52.290000000000013</v>
      </c>
      <c r="F103" s="235"/>
      <c r="G103" s="225">
        <f t="shared" si="6"/>
        <v>0</v>
      </c>
    </row>
    <row r="104" spans="2:9" ht="76.5" x14ac:dyDescent="0.2">
      <c r="B104" s="233" t="s">
        <v>343</v>
      </c>
      <c r="C104" s="234" t="s">
        <v>344</v>
      </c>
      <c r="D104" s="226" t="s">
        <v>132</v>
      </c>
      <c r="E104" s="224">
        <f>E22*1.7*0.2*20%</f>
        <v>15.776</v>
      </c>
      <c r="F104" s="235"/>
      <c r="G104" s="225">
        <f t="shared" si="6"/>
        <v>0</v>
      </c>
    </row>
    <row r="105" spans="2:9" x14ac:dyDescent="0.2">
      <c r="B105" s="233" t="s">
        <v>248</v>
      </c>
      <c r="C105" s="234" t="s">
        <v>249</v>
      </c>
      <c r="D105" s="226"/>
      <c r="E105" s="315"/>
      <c r="F105" s="235"/>
      <c r="G105" s="225"/>
    </row>
    <row r="106" spans="2:9" ht="25.5" x14ac:dyDescent="0.2">
      <c r="B106" s="233" t="s">
        <v>250</v>
      </c>
      <c r="C106" s="234" t="s">
        <v>251</v>
      </c>
      <c r="D106" s="226" t="s">
        <v>132</v>
      </c>
      <c r="E106" s="315">
        <f>+(E89+E90+E91+E92)-E103</f>
        <v>918.2</v>
      </c>
      <c r="F106" s="235"/>
      <c r="G106" s="225">
        <f>+ROUND((E106*F106),2)</f>
        <v>0</v>
      </c>
      <c r="I106" s="273">
        <f>E106+E107</f>
        <v>970.49</v>
      </c>
    </row>
    <row r="107" spans="2:9" ht="25.5" x14ac:dyDescent="0.2">
      <c r="B107" s="233" t="s">
        <v>252</v>
      </c>
      <c r="C107" s="234" t="s">
        <v>253</v>
      </c>
      <c r="D107" s="226" t="s">
        <v>132</v>
      </c>
      <c r="E107" s="315">
        <f>+E103</f>
        <v>52.290000000000013</v>
      </c>
      <c r="F107" s="235"/>
      <c r="G107" s="225">
        <f>+ROUND((E107*F107),2)</f>
        <v>0</v>
      </c>
    </row>
    <row r="108" spans="2:9" ht="38.25" x14ac:dyDescent="0.2">
      <c r="B108" s="233" t="s">
        <v>254</v>
      </c>
      <c r="C108" s="234" t="s">
        <v>126</v>
      </c>
      <c r="D108" s="226"/>
      <c r="E108" s="315"/>
      <c r="F108" s="235"/>
      <c r="G108" s="225">
        <f>+ROUND((SUM(G87:G107)*0.1),-1)</f>
        <v>0</v>
      </c>
    </row>
    <row r="109" spans="2:9" x14ac:dyDescent="0.2">
      <c r="B109" s="233"/>
      <c r="C109" s="283" t="s">
        <v>255</v>
      </c>
      <c r="D109" s="226"/>
      <c r="E109" s="315"/>
      <c r="F109" s="235"/>
      <c r="G109" s="310">
        <f>SUM(G87:G108)</f>
        <v>0</v>
      </c>
    </row>
    <row r="110" spans="2:9" x14ac:dyDescent="0.2">
      <c r="B110" s="301" t="s">
        <v>79</v>
      </c>
      <c r="C110" s="283" t="s">
        <v>80</v>
      </c>
      <c r="D110" s="226"/>
      <c r="E110" s="224"/>
      <c r="F110" s="235"/>
      <c r="G110" s="225"/>
    </row>
    <row r="111" spans="2:9" x14ac:dyDescent="0.2">
      <c r="B111" s="233" t="s">
        <v>256</v>
      </c>
      <c r="C111" s="234" t="s">
        <v>257</v>
      </c>
      <c r="D111" s="226"/>
      <c r="E111" s="224"/>
      <c r="F111" s="235"/>
      <c r="G111" s="225"/>
    </row>
    <row r="112" spans="2:9" ht="165.75" x14ac:dyDescent="0.2">
      <c r="B112" s="233" t="s">
        <v>258</v>
      </c>
      <c r="C112" s="234" t="s">
        <v>259</v>
      </c>
      <c r="D112" s="226" t="s">
        <v>57</v>
      </c>
      <c r="E112" s="224">
        <v>12</v>
      </c>
      <c r="F112" s="235"/>
      <c r="G112" s="225">
        <f>+ROUND((E112*F112),2)</f>
        <v>0</v>
      </c>
    </row>
    <row r="113" spans="2:7" ht="152.25" customHeight="1" x14ac:dyDescent="0.2">
      <c r="B113" s="233" t="s">
        <v>260</v>
      </c>
      <c r="C113" s="234" t="s">
        <v>261</v>
      </c>
      <c r="D113" s="226" t="s">
        <v>57</v>
      </c>
      <c r="E113" s="224">
        <v>220</v>
      </c>
      <c r="F113" s="235"/>
      <c r="G113" s="225">
        <f>+ROUND((E113*F113),2)</f>
        <v>0</v>
      </c>
    </row>
    <row r="114" spans="2:7" ht="51" hidden="1" x14ac:dyDescent="0.2">
      <c r="B114" s="233" t="s">
        <v>262</v>
      </c>
      <c r="C114" s="234" t="s">
        <v>263</v>
      </c>
      <c r="D114" s="226" t="s">
        <v>57</v>
      </c>
      <c r="E114" s="224"/>
      <c r="F114" s="235"/>
      <c r="G114" s="225">
        <f>+ROUND((E114*F114),2)</f>
        <v>0</v>
      </c>
    </row>
    <row r="115" spans="2:7" x14ac:dyDescent="0.2">
      <c r="B115" s="233" t="s">
        <v>264</v>
      </c>
      <c r="C115" s="234" t="s">
        <v>265</v>
      </c>
      <c r="D115" s="226"/>
      <c r="E115" s="224"/>
      <c r="F115" s="235"/>
      <c r="G115" s="225"/>
    </row>
    <row r="116" spans="2:7" ht="102" x14ac:dyDescent="0.2">
      <c r="B116" s="233" t="s">
        <v>266</v>
      </c>
      <c r="C116" s="234" t="s">
        <v>267</v>
      </c>
      <c r="D116" s="226" t="s">
        <v>64</v>
      </c>
      <c r="E116" s="224">
        <v>1</v>
      </c>
      <c r="F116" s="235"/>
      <c r="G116" s="225">
        <f>+ROUND((E116*F116),2)</f>
        <v>0</v>
      </c>
    </row>
    <row r="117" spans="2:7" ht="102" x14ac:dyDescent="0.2">
      <c r="B117" s="233" t="s">
        <v>268</v>
      </c>
      <c r="C117" s="234" t="s">
        <v>269</v>
      </c>
      <c r="D117" s="226" t="s">
        <v>64</v>
      </c>
      <c r="E117" s="224">
        <v>15</v>
      </c>
      <c r="F117" s="235"/>
      <c r="G117" s="225">
        <f>+ROUND((E117*F117),2)</f>
        <v>0</v>
      </c>
    </row>
    <row r="118" spans="2:7" ht="102" hidden="1" x14ac:dyDescent="0.2">
      <c r="B118" s="233" t="s">
        <v>270</v>
      </c>
      <c r="C118" s="234" t="s">
        <v>271</v>
      </c>
      <c r="D118" s="226" t="s">
        <v>64</v>
      </c>
      <c r="E118" s="224"/>
      <c r="F118" s="235"/>
      <c r="G118" s="225">
        <f>+ROUND((E118*F118),2)</f>
        <v>0</v>
      </c>
    </row>
    <row r="119" spans="2:7" ht="102" hidden="1" x14ac:dyDescent="0.2">
      <c r="B119" s="233" t="s">
        <v>272</v>
      </c>
      <c r="C119" s="234" t="s">
        <v>273</v>
      </c>
      <c r="D119" s="226" t="s">
        <v>64</v>
      </c>
      <c r="E119" s="224"/>
      <c r="F119" s="235"/>
      <c r="G119" s="225">
        <f>+ROUND((E119*F119),2)</f>
        <v>0</v>
      </c>
    </row>
    <row r="120" spans="2:7" ht="89.25" x14ac:dyDescent="0.2">
      <c r="B120" s="233" t="s">
        <v>274</v>
      </c>
      <c r="C120" s="234" t="s">
        <v>275</v>
      </c>
      <c r="D120" s="226" t="s">
        <v>64</v>
      </c>
      <c r="E120" s="224">
        <f>+E116+E117+E118+E119</f>
        <v>16</v>
      </c>
      <c r="F120" s="235"/>
      <c r="G120" s="225">
        <f>+ROUND((E120*F120),2)</f>
        <v>0</v>
      </c>
    </row>
    <row r="121" spans="2:7" ht="25.5" x14ac:dyDescent="0.2">
      <c r="B121" s="233" t="s">
        <v>276</v>
      </c>
      <c r="C121" s="234" t="s">
        <v>277</v>
      </c>
      <c r="D121" s="226" t="s">
        <v>64</v>
      </c>
      <c r="E121" s="224"/>
      <c r="F121" s="235"/>
      <c r="G121" s="225">
        <f>+E121*F121</f>
        <v>0</v>
      </c>
    </row>
    <row r="122" spans="2:7" x14ac:dyDescent="0.2">
      <c r="B122" s="233" t="s">
        <v>278</v>
      </c>
      <c r="C122" s="234" t="s">
        <v>279</v>
      </c>
      <c r="D122" s="226"/>
      <c r="E122" s="224"/>
      <c r="F122" s="235"/>
      <c r="G122" s="225"/>
    </row>
    <row r="123" spans="2:7" ht="51" hidden="1" x14ac:dyDescent="0.2">
      <c r="B123" s="233" t="s">
        <v>280</v>
      </c>
      <c r="C123" s="234" t="s">
        <v>281</v>
      </c>
      <c r="D123" s="226" t="s">
        <v>64</v>
      </c>
      <c r="E123" s="224"/>
      <c r="F123" s="235"/>
      <c r="G123" s="225">
        <f>+ROUND((E123*F123),2)</f>
        <v>0</v>
      </c>
    </row>
    <row r="124" spans="2:7" ht="51" x14ac:dyDescent="0.2">
      <c r="B124" s="233" t="s">
        <v>282</v>
      </c>
      <c r="C124" s="234" t="s">
        <v>283</v>
      </c>
      <c r="D124" s="226" t="s">
        <v>64</v>
      </c>
      <c r="E124" s="224">
        <v>15</v>
      </c>
      <c r="F124" s="235"/>
      <c r="G124" s="225">
        <f>+ROUND((E124*F124),2)</f>
        <v>0</v>
      </c>
    </row>
    <row r="125" spans="2:7" ht="25.5" hidden="1" x14ac:dyDescent="0.2">
      <c r="B125" s="233" t="s">
        <v>284</v>
      </c>
      <c r="C125" s="234" t="s">
        <v>285</v>
      </c>
      <c r="D125" s="226" t="s">
        <v>95</v>
      </c>
      <c r="E125" s="224"/>
      <c r="F125" s="235"/>
      <c r="G125" s="225">
        <f>+E125*F125</f>
        <v>0</v>
      </c>
    </row>
    <row r="126" spans="2:7" ht="25.5" x14ac:dyDescent="0.2">
      <c r="B126" s="233" t="s">
        <v>286</v>
      </c>
      <c r="C126" s="234" t="s">
        <v>287</v>
      </c>
      <c r="D126" s="226" t="s">
        <v>57</v>
      </c>
      <c r="E126" s="224">
        <v>12</v>
      </c>
      <c r="F126" s="235"/>
      <c r="G126" s="225">
        <f>+ROUND((E126*F126),2)</f>
        <v>0</v>
      </c>
    </row>
    <row r="127" spans="2:7" x14ac:dyDescent="0.2">
      <c r="B127" s="233" t="s">
        <v>288</v>
      </c>
      <c r="C127" s="234" t="s">
        <v>289</v>
      </c>
      <c r="D127" s="226"/>
      <c r="E127" s="224"/>
      <c r="F127" s="235"/>
      <c r="G127" s="225"/>
    </row>
    <row r="128" spans="2:7" x14ac:dyDescent="0.2">
      <c r="B128" s="233" t="s">
        <v>290</v>
      </c>
      <c r="C128" s="234" t="s">
        <v>291</v>
      </c>
      <c r="D128" s="226" t="s">
        <v>57</v>
      </c>
      <c r="E128" s="224">
        <f>E22</f>
        <v>232</v>
      </c>
      <c r="F128" s="235"/>
      <c r="G128" s="225">
        <f>+ROUND((E128*F128),2)</f>
        <v>0</v>
      </c>
    </row>
    <row r="129" spans="2:7" ht="38.25" x14ac:dyDescent="0.2">
      <c r="B129" s="233" t="s">
        <v>292</v>
      </c>
      <c r="C129" s="234" t="s">
        <v>293</v>
      </c>
      <c r="D129" s="226" t="s">
        <v>57</v>
      </c>
      <c r="E129" s="224">
        <f>+E128</f>
        <v>232</v>
      </c>
      <c r="F129" s="235"/>
      <c r="G129" s="225">
        <f>+ROUND((E129*F129),2)</f>
        <v>0</v>
      </c>
    </row>
    <row r="130" spans="2:7" ht="51" x14ac:dyDescent="0.2">
      <c r="B130" s="233" t="s">
        <v>294</v>
      </c>
      <c r="C130" s="234" t="s">
        <v>295</v>
      </c>
      <c r="D130" s="226" t="s">
        <v>57</v>
      </c>
      <c r="E130" s="224">
        <f>+E129</f>
        <v>232</v>
      </c>
      <c r="F130" s="235"/>
      <c r="G130" s="225">
        <f>+ROUND((E130*F130),2)</f>
        <v>0</v>
      </c>
    </row>
    <row r="131" spans="2:7" x14ac:dyDescent="0.2">
      <c r="B131" s="233" t="s">
        <v>296</v>
      </c>
      <c r="C131" s="234" t="s">
        <v>297</v>
      </c>
      <c r="D131" s="226"/>
      <c r="E131" s="224"/>
      <c r="F131" s="235"/>
      <c r="G131" s="225"/>
    </row>
    <row r="132" spans="2:7" ht="25.5" x14ac:dyDescent="0.2">
      <c r="B132" s="233" t="s">
        <v>298</v>
      </c>
      <c r="C132" s="234" t="s">
        <v>299</v>
      </c>
      <c r="D132" s="226" t="s">
        <v>64</v>
      </c>
      <c r="E132" s="224">
        <v>1</v>
      </c>
      <c r="F132" s="235"/>
      <c r="G132" s="225">
        <f t="shared" ref="G132:G141" si="7">+ROUND((E132*F132),2)</f>
        <v>0</v>
      </c>
    </row>
    <row r="133" spans="2:7" ht="25.5" x14ac:dyDescent="0.2">
      <c r="B133" s="233" t="s">
        <v>300</v>
      </c>
      <c r="C133" s="234" t="s">
        <v>301</v>
      </c>
      <c r="D133" s="226" t="s">
        <v>64</v>
      </c>
      <c r="E133" s="224">
        <v>6</v>
      </c>
      <c r="F133" s="235"/>
      <c r="G133" s="225">
        <f t="shared" si="7"/>
        <v>0</v>
      </c>
    </row>
    <row r="134" spans="2:7" ht="38.25" x14ac:dyDescent="0.2">
      <c r="B134" s="233" t="s">
        <v>302</v>
      </c>
      <c r="C134" s="234" t="s">
        <v>303</v>
      </c>
      <c r="D134" s="226" t="s">
        <v>64</v>
      </c>
      <c r="E134" s="224">
        <v>6</v>
      </c>
      <c r="F134" s="235"/>
      <c r="G134" s="225">
        <f t="shared" si="7"/>
        <v>0</v>
      </c>
    </row>
    <row r="135" spans="2:7" ht="25.5" x14ac:dyDescent="0.2">
      <c r="B135" s="233" t="s">
        <v>304</v>
      </c>
      <c r="C135" s="234" t="s">
        <v>305</v>
      </c>
      <c r="D135" s="226" t="s">
        <v>64</v>
      </c>
      <c r="E135" s="224"/>
      <c r="F135" s="235"/>
      <c r="G135" s="225">
        <f t="shared" si="7"/>
        <v>0</v>
      </c>
    </row>
    <row r="136" spans="2:7" ht="38.25" x14ac:dyDescent="0.2">
      <c r="B136" s="233" t="s">
        <v>306</v>
      </c>
      <c r="C136" s="234" t="s">
        <v>307</v>
      </c>
      <c r="D136" s="226" t="s">
        <v>64</v>
      </c>
      <c r="E136" s="224">
        <v>1</v>
      </c>
      <c r="F136" s="235"/>
      <c r="G136" s="225">
        <f t="shared" si="7"/>
        <v>0</v>
      </c>
    </row>
    <row r="137" spans="2:7" ht="38.25" x14ac:dyDescent="0.2">
      <c r="B137" s="233" t="s">
        <v>308</v>
      </c>
      <c r="C137" s="234" t="s">
        <v>309</v>
      </c>
      <c r="D137" s="226" t="s">
        <v>64</v>
      </c>
      <c r="E137" s="224">
        <v>1</v>
      </c>
      <c r="F137" s="235"/>
      <c r="G137" s="225">
        <f t="shared" si="7"/>
        <v>0</v>
      </c>
    </row>
    <row r="138" spans="2:7" ht="89.25" hidden="1" x14ac:dyDescent="0.2">
      <c r="B138" s="233" t="s">
        <v>310</v>
      </c>
      <c r="C138" s="234" t="s">
        <v>311</v>
      </c>
      <c r="D138" s="226" t="s">
        <v>57</v>
      </c>
      <c r="E138" s="224"/>
      <c r="F138" s="235"/>
      <c r="G138" s="225">
        <f t="shared" si="7"/>
        <v>0</v>
      </c>
    </row>
    <row r="139" spans="2:7" ht="89.25" hidden="1" x14ac:dyDescent="0.2">
      <c r="B139" s="233" t="s">
        <v>312</v>
      </c>
      <c r="C139" s="234" t="s">
        <v>313</v>
      </c>
      <c r="D139" s="226" t="s">
        <v>57</v>
      </c>
      <c r="E139" s="224"/>
      <c r="F139" s="235"/>
      <c r="G139" s="225">
        <f t="shared" si="7"/>
        <v>0</v>
      </c>
    </row>
    <row r="140" spans="2:7" ht="89.25" hidden="1" x14ac:dyDescent="0.2">
      <c r="B140" s="233" t="s">
        <v>314</v>
      </c>
      <c r="C140" s="234" t="s">
        <v>315</v>
      </c>
      <c r="D140" s="226" t="s">
        <v>57</v>
      </c>
      <c r="E140" s="224"/>
      <c r="F140" s="235"/>
      <c r="G140" s="225">
        <f t="shared" si="7"/>
        <v>0</v>
      </c>
    </row>
    <row r="141" spans="2:7" ht="76.5" hidden="1" x14ac:dyDescent="0.2">
      <c r="B141" s="233" t="s">
        <v>316</v>
      </c>
      <c r="C141" s="234" t="s">
        <v>345</v>
      </c>
      <c r="D141" s="226" t="s">
        <v>57</v>
      </c>
      <c r="E141" s="224"/>
      <c r="F141" s="235"/>
      <c r="G141" s="225">
        <f t="shared" si="7"/>
        <v>0</v>
      </c>
    </row>
    <row r="142" spans="2:7" ht="38.25" x14ac:dyDescent="0.2">
      <c r="B142" s="233" t="s">
        <v>318</v>
      </c>
      <c r="C142" s="234" t="s">
        <v>126</v>
      </c>
      <c r="D142" s="226"/>
      <c r="E142" s="224"/>
      <c r="F142" s="235"/>
      <c r="G142" s="225">
        <f>+ROUND((SUM(G112:G141)*0.1),-1)</f>
        <v>0</v>
      </c>
    </row>
    <row r="143" spans="2:7" x14ac:dyDescent="0.2">
      <c r="B143" s="233"/>
      <c r="C143" s="283" t="s">
        <v>319</v>
      </c>
      <c r="D143" s="226"/>
      <c r="E143" s="224"/>
      <c r="F143" s="235"/>
      <c r="G143" s="310">
        <f>SUM(G112:G142)</f>
        <v>0</v>
      </c>
    </row>
    <row r="144" spans="2:7" x14ac:dyDescent="0.2">
      <c r="B144" s="301" t="s">
        <v>81</v>
      </c>
      <c r="C144" s="283" t="s">
        <v>320</v>
      </c>
      <c r="D144" s="226"/>
      <c r="E144" s="224"/>
      <c r="F144" s="235"/>
      <c r="G144" s="225"/>
    </row>
    <row r="145" spans="2:7" ht="248.85" customHeight="1" x14ac:dyDescent="0.2">
      <c r="B145" s="233" t="s">
        <v>321</v>
      </c>
      <c r="C145" s="234" t="s">
        <v>322</v>
      </c>
      <c r="D145" s="226" t="s">
        <v>57</v>
      </c>
      <c r="E145" s="224">
        <v>62</v>
      </c>
      <c r="F145" s="235"/>
      <c r="G145" s="225">
        <f>+ROUND((E145*F145),2)</f>
        <v>0</v>
      </c>
    </row>
    <row r="146" spans="2:7" ht="241.7" customHeight="1" x14ac:dyDescent="0.2">
      <c r="B146" s="233" t="s">
        <v>323</v>
      </c>
      <c r="C146" s="234" t="s">
        <v>333</v>
      </c>
      <c r="D146" s="226" t="s">
        <v>57</v>
      </c>
      <c r="E146" s="224"/>
      <c r="F146" s="235"/>
      <c r="G146" s="225">
        <f>+ROUND((E146*F146),2)</f>
        <v>0</v>
      </c>
    </row>
    <row r="147" spans="2:7" ht="90.95" customHeight="1" x14ac:dyDescent="0.2">
      <c r="B147" s="233" t="s">
        <v>325</v>
      </c>
      <c r="C147" s="234" t="s">
        <v>324</v>
      </c>
      <c r="D147" s="226" t="s">
        <v>64</v>
      </c>
      <c r="E147" s="224">
        <v>5</v>
      </c>
      <c r="F147" s="235"/>
      <c r="G147" s="225">
        <f>+ROUND((E147*F147),2)</f>
        <v>0</v>
      </c>
    </row>
    <row r="148" spans="2:7" ht="109.5" customHeight="1" x14ac:dyDescent="0.2">
      <c r="B148" s="233" t="s">
        <v>334</v>
      </c>
      <c r="C148" s="234" t="s">
        <v>326</v>
      </c>
      <c r="D148" s="226" t="s">
        <v>64</v>
      </c>
      <c r="E148" s="224">
        <v>10</v>
      </c>
      <c r="F148" s="235"/>
      <c r="G148" s="225">
        <f>+ROUND((E148*F148),2)</f>
        <v>0</v>
      </c>
    </row>
    <row r="149" spans="2:7" ht="38.25" x14ac:dyDescent="0.2">
      <c r="B149" s="233" t="s">
        <v>327</v>
      </c>
      <c r="C149" s="234" t="s">
        <v>126</v>
      </c>
      <c r="D149" s="226"/>
      <c r="E149" s="224"/>
      <c r="F149" s="235"/>
      <c r="G149" s="225">
        <f>+ROUND((SUM(G145:G148)*0.1),-1)</f>
        <v>0</v>
      </c>
    </row>
    <row r="150" spans="2:7" x14ac:dyDescent="0.2">
      <c r="B150" s="233"/>
      <c r="C150" s="283" t="s">
        <v>328</v>
      </c>
      <c r="D150" s="226"/>
      <c r="E150" s="224"/>
      <c r="F150" s="235"/>
      <c r="G150" s="310">
        <f>SUM(G145:G149)</f>
        <v>0</v>
      </c>
    </row>
    <row r="151" spans="2:7" x14ac:dyDescent="0.2">
      <c r="C151" s="316"/>
      <c r="E151" s="272"/>
      <c r="F151" s="318"/>
      <c r="G151" s="273"/>
    </row>
    <row r="152" spans="2:7" x14ac:dyDescent="0.2">
      <c r="C152" s="316"/>
      <c r="E152" s="272"/>
      <c r="F152" s="318"/>
      <c r="G152" s="273"/>
    </row>
    <row r="153" spans="2:7" x14ac:dyDescent="0.2">
      <c r="C153" s="316"/>
      <c r="E153" s="272"/>
      <c r="F153" s="318"/>
      <c r="G153" s="273"/>
    </row>
    <row r="154" spans="2:7" x14ac:dyDescent="0.2">
      <c r="C154" s="316"/>
      <c r="D154" s="271"/>
      <c r="E154" s="319"/>
      <c r="F154" s="318"/>
      <c r="G154" s="273"/>
    </row>
    <row r="155" spans="2:7" x14ac:dyDescent="0.2">
      <c r="C155" s="316"/>
      <c r="E155" s="272"/>
      <c r="F155" s="318"/>
      <c r="G155" s="273"/>
    </row>
    <row r="156" spans="2:7" x14ac:dyDescent="0.2">
      <c r="C156" s="316"/>
      <c r="E156" s="272"/>
      <c r="F156" s="318"/>
      <c r="G156" s="273"/>
    </row>
    <row r="157" spans="2:7" x14ac:dyDescent="0.2">
      <c r="C157" s="272"/>
      <c r="D157" s="271"/>
      <c r="E157" s="272"/>
      <c r="F157" s="318"/>
      <c r="G157" s="273"/>
    </row>
    <row r="158" spans="2:7" x14ac:dyDescent="0.2">
      <c r="C158" s="273"/>
      <c r="E158" s="272"/>
      <c r="F158" s="318"/>
      <c r="G158" s="273"/>
    </row>
    <row r="159" spans="2:7" x14ac:dyDescent="0.2">
      <c r="D159" s="271"/>
      <c r="E159" s="272"/>
      <c r="F159" s="318"/>
      <c r="G159" s="273"/>
    </row>
    <row r="160" spans="2:7" x14ac:dyDescent="0.2">
      <c r="C160" s="316"/>
      <c r="E160" s="272"/>
      <c r="F160" s="318"/>
      <c r="G160" s="273"/>
    </row>
    <row r="161" spans="3:7" x14ac:dyDescent="0.2">
      <c r="C161" s="273"/>
      <c r="E161" s="272"/>
      <c r="F161" s="318"/>
      <c r="G161" s="273"/>
    </row>
    <row r="162" spans="3:7" x14ac:dyDescent="0.2">
      <c r="C162" s="316"/>
      <c r="E162" s="272"/>
      <c r="F162" s="318"/>
      <c r="G162" s="273"/>
    </row>
    <row r="163" spans="3:7" x14ac:dyDescent="0.2">
      <c r="C163" s="316"/>
      <c r="E163" s="272"/>
      <c r="F163" s="318"/>
      <c r="G163" s="273"/>
    </row>
    <row r="164" spans="3:7" x14ac:dyDescent="0.2">
      <c r="C164" s="273"/>
      <c r="D164" s="271"/>
      <c r="E164" s="272"/>
      <c r="F164" s="318"/>
      <c r="G164" s="273"/>
    </row>
    <row r="165" spans="3:7" x14ac:dyDescent="0.2">
      <c r="C165" s="316"/>
      <c r="E165" s="272"/>
      <c r="F165" s="318"/>
      <c r="G165" s="273"/>
    </row>
    <row r="167" spans="3:7" s="264" customFormat="1" x14ac:dyDescent="0.2"/>
    <row r="168" spans="3:7" x14ac:dyDescent="0.2">
      <c r="C168" s="316"/>
      <c r="E168" s="272"/>
      <c r="F168" s="318"/>
      <c r="G168" s="273"/>
    </row>
    <row r="169" spans="3:7" s="264" customFormat="1" x14ac:dyDescent="0.2"/>
    <row r="170" spans="3:7" s="264" customFormat="1" x14ac:dyDescent="0.2"/>
    <row r="171" spans="3:7" s="264" customFormat="1" x14ac:dyDescent="0.2"/>
    <row r="172" spans="3:7" s="264" customFormat="1" x14ac:dyDescent="0.2"/>
    <row r="173" spans="3:7" x14ac:dyDescent="0.2">
      <c r="D173" s="271"/>
      <c r="E173" s="272"/>
      <c r="F173" s="318"/>
      <c r="G173" s="273"/>
    </row>
  </sheetData>
  <sheetProtection algorithmName="SHA-512" hashValue="RbA5GHXWqsL34Te9SIX3cQf3y6/VR72K/7Qfpu1QPQxZo0qhvuWGZCNptRn2d9GPZ7fd2u18JfcJYrxnEi1+vw==" saltValue="MwofTWiun+tmg9HiEPAe8A==" spinCount="100000" sheet="1" objects="1" scenarios="1"/>
  <mergeCells count="5">
    <mergeCell ref="B13:G13"/>
    <mergeCell ref="B14:G14"/>
    <mergeCell ref="B15:G15"/>
    <mergeCell ref="B16:G16"/>
    <mergeCell ref="B17:G17"/>
  </mergeCells>
  <conditionalFormatting sqref="F29 F31">
    <cfRule type="cellIs" dxfId="7" priority="2" operator="equal">
      <formula>0</formula>
    </cfRule>
  </conditionalFormatting>
  <conditionalFormatting sqref="F35:F37">
    <cfRule type="cellIs" dxfId="6" priority="3" operator="equal">
      <formula>0</formula>
    </cfRule>
  </conditionalFormatting>
  <conditionalFormatting sqref="F30">
    <cfRule type="cellIs" dxfId="5" priority="4" operator="equal">
      <formula>0</formula>
    </cfRule>
  </conditionalFormatting>
  <pageMargins left="0.98425196850393704" right="0.39370078740157483" top="0.78740157480314965" bottom="0.78740157480314965" header="0.51181102362204722" footer="0"/>
  <pageSetup paperSize="9" scale="91" firstPageNumber="0" orientation="portrait" horizontalDpi="300" verticalDpi="300" r:id="rId1"/>
  <headerFooter>
    <oddFooter>&amp;L&amp;A&amp;R&amp;9Stran &amp;P/&amp;N</oddFooter>
  </headerFooter>
  <rowBreaks count="2" manualBreakCount="2">
    <brk id="121" max="16383" man="1"/>
    <brk id="156"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MJ161"/>
  <sheetViews>
    <sheetView view="pageBreakPreview" topLeftCell="B1" zoomScale="130" zoomScaleNormal="100" zoomScaleSheetLayoutView="130" zoomScalePageLayoutView="120" workbookViewId="0">
      <selection activeCell="I23" sqref="I23"/>
    </sheetView>
  </sheetViews>
  <sheetFormatPr defaultColWidth="9.33203125" defaultRowHeight="12.75" x14ac:dyDescent="0.2"/>
  <cols>
    <col min="1" max="1" width="1.83203125" style="19" hidden="1" customWidth="1"/>
    <col min="2" max="2" width="7.1640625" style="100" customWidth="1"/>
    <col min="3" max="3" width="58.5" style="19" customWidth="1"/>
    <col min="4" max="4" width="7.6640625" style="101" customWidth="1"/>
    <col min="5" max="5" width="9.5" style="102" customWidth="1"/>
    <col min="6" max="6" width="12" style="19" customWidth="1"/>
    <col min="7" max="7" width="13.6640625" style="19" customWidth="1"/>
    <col min="8" max="8" width="6.6640625" style="19" customWidth="1"/>
    <col min="9" max="1024" width="9.33203125" style="19"/>
    <col min="1025" max="16384" width="9.33203125" style="232"/>
  </cols>
  <sheetData>
    <row r="1" spans="2:7" x14ac:dyDescent="0.2">
      <c r="B1" s="152" t="s">
        <v>347</v>
      </c>
      <c r="C1" s="153" t="s">
        <v>348</v>
      </c>
      <c r="D1" s="238"/>
      <c r="E1" s="238"/>
      <c r="F1" s="238"/>
      <c r="G1" s="238"/>
    </row>
    <row r="2" spans="2:7" x14ac:dyDescent="0.2">
      <c r="C2" s="154"/>
      <c r="D2" s="106"/>
      <c r="E2" s="107"/>
      <c r="F2" s="108"/>
    </row>
    <row r="3" spans="2:7" x14ac:dyDescent="0.2">
      <c r="B3" s="112" t="s">
        <v>71</v>
      </c>
      <c r="C3" s="113" t="s">
        <v>72</v>
      </c>
      <c r="D3" s="169"/>
      <c r="E3" s="115"/>
      <c r="F3" s="113"/>
      <c r="G3" s="155">
        <f>+G32</f>
        <v>0</v>
      </c>
    </row>
    <row r="4" spans="2:7" x14ac:dyDescent="0.2">
      <c r="B4" s="112" t="s">
        <v>73</v>
      </c>
      <c r="C4" s="113" t="s">
        <v>78</v>
      </c>
      <c r="D4" s="169"/>
      <c r="E4" s="115"/>
      <c r="F4" s="113"/>
      <c r="G4" s="155">
        <f>+G47</f>
        <v>0</v>
      </c>
    </row>
    <row r="5" spans="2:7" x14ac:dyDescent="0.2">
      <c r="B5" s="112" t="s">
        <v>75</v>
      </c>
      <c r="C5" s="113" t="s">
        <v>349</v>
      </c>
      <c r="D5" s="169"/>
      <c r="E5" s="115"/>
      <c r="F5" s="113"/>
      <c r="G5" s="155">
        <f>+G76</f>
        <v>0</v>
      </c>
    </row>
    <row r="6" spans="2:7" x14ac:dyDescent="0.2">
      <c r="B6" s="112" t="s">
        <v>77</v>
      </c>
      <c r="C6" s="113" t="s">
        <v>350</v>
      </c>
      <c r="D6" s="169"/>
      <c r="E6" s="115"/>
      <c r="F6" s="113"/>
      <c r="G6" s="155">
        <f>+G82</f>
        <v>0</v>
      </c>
    </row>
    <row r="7" spans="2:7" x14ac:dyDescent="0.2">
      <c r="B7" s="112" t="s">
        <v>79</v>
      </c>
      <c r="C7" s="113" t="s">
        <v>351</v>
      </c>
      <c r="D7" s="169"/>
      <c r="E7" s="115"/>
      <c r="F7" s="113"/>
      <c r="G7" s="155">
        <f>+G113</f>
        <v>0</v>
      </c>
    </row>
    <row r="8" spans="2:7" x14ac:dyDescent="0.2">
      <c r="B8" s="112" t="s">
        <v>81</v>
      </c>
      <c r="C8" s="113" t="s">
        <v>352</v>
      </c>
      <c r="D8" s="169"/>
      <c r="E8" s="115"/>
      <c r="F8" s="113"/>
      <c r="G8" s="155">
        <f>+G126</f>
        <v>0</v>
      </c>
    </row>
    <row r="9" spans="2:7" x14ac:dyDescent="0.2">
      <c r="B9" s="112" t="s">
        <v>353</v>
      </c>
      <c r="C9" s="113" t="s">
        <v>354</v>
      </c>
      <c r="D9" s="169"/>
      <c r="E9" s="115"/>
      <c r="F9" s="113"/>
      <c r="G9" s="155">
        <f>+G160</f>
        <v>0</v>
      </c>
    </row>
    <row r="10" spans="2:7" x14ac:dyDescent="0.2">
      <c r="B10" s="112"/>
      <c r="C10" s="143" t="s">
        <v>31</v>
      </c>
      <c r="D10" s="144"/>
      <c r="E10" s="145"/>
      <c r="F10" s="131"/>
      <c r="G10" s="156">
        <f>SUM(G3:G9)</f>
        <v>0</v>
      </c>
    </row>
    <row r="11" spans="2:7" x14ac:dyDescent="0.2">
      <c r="C11" s="146"/>
      <c r="D11" s="147"/>
      <c r="E11" s="148"/>
      <c r="F11" s="21"/>
      <c r="G11" s="157"/>
    </row>
    <row r="12" spans="2:7" x14ac:dyDescent="0.2">
      <c r="B12" s="158" t="s">
        <v>83</v>
      </c>
      <c r="C12" s="159"/>
      <c r="D12" s="160"/>
      <c r="E12" s="161"/>
      <c r="F12" s="162"/>
      <c r="G12" s="149"/>
    </row>
    <row r="13" spans="2:7" ht="57" customHeight="1" x14ac:dyDescent="0.2">
      <c r="B13" s="327" t="s">
        <v>355</v>
      </c>
      <c r="C13" s="327"/>
      <c r="D13" s="327"/>
      <c r="E13" s="327"/>
      <c r="F13" s="327"/>
      <c r="G13" s="327"/>
    </row>
    <row r="14" spans="2:7" ht="108" customHeight="1" x14ac:dyDescent="0.2">
      <c r="B14" s="327" t="s">
        <v>85</v>
      </c>
      <c r="C14" s="327"/>
      <c r="D14" s="327"/>
      <c r="E14" s="327"/>
      <c r="F14" s="327"/>
      <c r="G14" s="327"/>
    </row>
    <row r="15" spans="2:7" ht="55.5" customHeight="1" x14ac:dyDescent="0.2">
      <c r="B15" s="327" t="s">
        <v>86</v>
      </c>
      <c r="C15" s="327"/>
      <c r="D15" s="327"/>
      <c r="E15" s="327"/>
      <c r="F15" s="327"/>
      <c r="G15" s="327"/>
    </row>
    <row r="16" spans="2:7" ht="105.75" customHeight="1" x14ac:dyDescent="0.2">
      <c r="B16" s="327" t="s">
        <v>87</v>
      </c>
      <c r="C16" s="327"/>
      <c r="D16" s="327"/>
      <c r="E16" s="327"/>
      <c r="F16" s="327"/>
      <c r="G16" s="327"/>
    </row>
    <row r="17" spans="2:7" ht="29.25" customHeight="1" x14ac:dyDescent="0.2">
      <c r="B17" s="327" t="s">
        <v>88</v>
      </c>
      <c r="C17" s="327"/>
      <c r="D17" s="327"/>
      <c r="E17" s="327"/>
      <c r="F17" s="327"/>
      <c r="G17" s="327"/>
    </row>
    <row r="18" spans="2:7" x14ac:dyDescent="0.2">
      <c r="C18" s="146"/>
      <c r="D18" s="147"/>
      <c r="E18" s="148"/>
      <c r="F18" s="21"/>
      <c r="G18" s="157"/>
    </row>
    <row r="19" spans="2:7" ht="25.5" x14ac:dyDescent="0.2">
      <c r="B19" s="123" t="s">
        <v>36</v>
      </c>
      <c r="C19" s="110" t="s">
        <v>37</v>
      </c>
      <c r="D19" s="123" t="s">
        <v>38</v>
      </c>
      <c r="E19" s="123" t="s">
        <v>39</v>
      </c>
      <c r="F19" s="110" t="s">
        <v>356</v>
      </c>
      <c r="G19" s="123" t="s">
        <v>357</v>
      </c>
    </row>
    <row r="20" spans="2:7" x14ac:dyDescent="0.2">
      <c r="B20" s="151" t="s">
        <v>71</v>
      </c>
      <c r="C20" s="131" t="s">
        <v>72</v>
      </c>
      <c r="D20" s="169"/>
      <c r="E20" s="115"/>
      <c r="F20" s="113"/>
      <c r="G20" s="113"/>
    </row>
    <row r="21" spans="2:7" ht="51" x14ac:dyDescent="0.2">
      <c r="B21" s="123">
        <v>1101</v>
      </c>
      <c r="C21" s="163" t="s">
        <v>358</v>
      </c>
      <c r="D21" s="164" t="s">
        <v>136</v>
      </c>
      <c r="E21" s="170">
        <v>70</v>
      </c>
      <c r="F21" s="171"/>
      <c r="G21" s="172">
        <f>+ROUND((E21*F21),2)</f>
        <v>0</v>
      </c>
    </row>
    <row r="22" spans="2:7" ht="25.5" x14ac:dyDescent="0.2">
      <c r="B22" s="112" t="s">
        <v>93</v>
      </c>
      <c r="C22" s="165" t="s">
        <v>359</v>
      </c>
      <c r="D22" s="169" t="s">
        <v>64</v>
      </c>
      <c r="E22" s="170">
        <v>4</v>
      </c>
      <c r="F22" s="171"/>
      <c r="G22" s="172">
        <f>+ROUND((E22*F22),2)</f>
        <v>0</v>
      </c>
    </row>
    <row r="23" spans="2:7" ht="51" x14ac:dyDescent="0.2">
      <c r="B23" s="112" t="s">
        <v>96</v>
      </c>
      <c r="C23" s="165" t="s">
        <v>360</v>
      </c>
      <c r="D23" s="169" t="s">
        <v>46</v>
      </c>
      <c r="E23" s="170">
        <v>1</v>
      </c>
      <c r="F23" s="171"/>
      <c r="G23" s="172">
        <f>+ROUND((E23*F23),2)</f>
        <v>0</v>
      </c>
    </row>
    <row r="24" spans="2:7" ht="25.5" x14ac:dyDescent="0.2">
      <c r="B24" s="112" t="s">
        <v>106</v>
      </c>
      <c r="C24" s="168" t="s">
        <v>119</v>
      </c>
      <c r="D24" s="169" t="s">
        <v>120</v>
      </c>
      <c r="E24" s="170">
        <v>15</v>
      </c>
      <c r="F24" s="171"/>
      <c r="G24" s="172">
        <f>+ROUND((E24*F24),2)</f>
        <v>0</v>
      </c>
    </row>
    <row r="25" spans="2:7" ht="38.25" x14ac:dyDescent="0.2">
      <c r="B25" s="112" t="s">
        <v>108</v>
      </c>
      <c r="C25" s="168" t="s">
        <v>124</v>
      </c>
      <c r="D25" s="166" t="s">
        <v>120</v>
      </c>
      <c r="E25" s="167">
        <v>20</v>
      </c>
      <c r="F25" s="171"/>
      <c r="G25" s="172">
        <f>E25*F25</f>
        <v>0</v>
      </c>
    </row>
    <row r="26" spans="2:7" ht="38.25" x14ac:dyDescent="0.2">
      <c r="B26" s="112" t="s">
        <v>110</v>
      </c>
      <c r="C26" s="168" t="s">
        <v>135</v>
      </c>
      <c r="D26" s="169" t="s">
        <v>136</v>
      </c>
      <c r="E26" s="170">
        <v>50</v>
      </c>
      <c r="F26" s="171"/>
      <c r="G26" s="172">
        <f>+ROUND((E26*F26),2)</f>
        <v>0</v>
      </c>
    </row>
    <row r="27" spans="2:7" ht="38.25" x14ac:dyDescent="0.2">
      <c r="B27" s="112" t="s">
        <v>112</v>
      </c>
      <c r="C27" s="234" t="s">
        <v>202</v>
      </c>
      <c r="D27" s="226" t="s">
        <v>57</v>
      </c>
      <c r="E27" s="224">
        <v>9</v>
      </c>
      <c r="F27" s="235"/>
      <c r="G27" s="225">
        <f>+ROUND((E27*F27),2)</f>
        <v>0</v>
      </c>
    </row>
    <row r="28" spans="2:7" ht="38.25" x14ac:dyDescent="0.2">
      <c r="B28" s="112" t="s">
        <v>114</v>
      </c>
      <c r="C28" s="236" t="s">
        <v>497</v>
      </c>
      <c r="D28" s="229" t="s">
        <v>136</v>
      </c>
      <c r="E28" s="224">
        <v>10</v>
      </c>
      <c r="F28" s="237"/>
      <c r="G28" s="231">
        <f>+ROUND((E28*F28),2)</f>
        <v>0</v>
      </c>
    </row>
    <row r="29" spans="2:7" ht="25.5" x14ac:dyDescent="0.2">
      <c r="B29" s="112" t="s">
        <v>125</v>
      </c>
      <c r="C29" s="168" t="s">
        <v>361</v>
      </c>
      <c r="D29" s="169" t="s">
        <v>46</v>
      </c>
      <c r="E29" s="170">
        <v>1</v>
      </c>
      <c r="F29" s="171"/>
      <c r="G29" s="172">
        <f>+ROUND((E29*F29),2)</f>
        <v>0</v>
      </c>
    </row>
    <row r="30" spans="2:7" x14ac:dyDescent="0.2">
      <c r="B30" s="112" t="s">
        <v>362</v>
      </c>
      <c r="C30" s="168" t="s">
        <v>363</v>
      </c>
      <c r="D30" s="169" t="s">
        <v>46</v>
      </c>
      <c r="E30" s="170">
        <v>1</v>
      </c>
      <c r="F30" s="171"/>
      <c r="G30" s="172">
        <f>+ROUND((E30*F30),2)</f>
        <v>0</v>
      </c>
    </row>
    <row r="31" spans="2:7" ht="38.25" x14ac:dyDescent="0.2">
      <c r="B31" s="112" t="s">
        <v>364</v>
      </c>
      <c r="C31" s="168" t="s">
        <v>126</v>
      </c>
      <c r="D31" s="169"/>
      <c r="E31" s="170"/>
      <c r="F31" s="171"/>
      <c r="G31" s="172">
        <f>+ROUND((SUM(G21:G30)*0.1),-1)</f>
        <v>0</v>
      </c>
    </row>
    <row r="32" spans="2:7" x14ac:dyDescent="0.2">
      <c r="B32" s="112"/>
      <c r="C32" s="131" t="s">
        <v>127</v>
      </c>
      <c r="D32" s="169"/>
      <c r="E32" s="170"/>
      <c r="F32" s="171"/>
      <c r="G32" s="132">
        <f>SUM(G21:G31)</f>
        <v>0</v>
      </c>
    </row>
    <row r="33" spans="1:7" x14ac:dyDescent="0.2">
      <c r="A33" s="109"/>
      <c r="B33" s="151" t="s">
        <v>73</v>
      </c>
      <c r="C33" s="173" t="s">
        <v>78</v>
      </c>
      <c r="D33" s="166"/>
      <c r="E33" s="167"/>
      <c r="F33" s="171"/>
      <c r="G33" s="172"/>
    </row>
    <row r="34" spans="1:7" ht="127.5" x14ac:dyDescent="0.2">
      <c r="A34" s="109"/>
      <c r="B34" s="112" t="s">
        <v>130</v>
      </c>
      <c r="C34" s="174" t="s">
        <v>365</v>
      </c>
      <c r="D34" s="169" t="s">
        <v>136</v>
      </c>
      <c r="E34" s="170">
        <f>4*5.8*6.55</f>
        <v>151.95999999999998</v>
      </c>
      <c r="F34" s="171"/>
      <c r="G34" s="172">
        <f t="shared" ref="G34:G45" si="0">+ROUND((E34*F34),2)</f>
        <v>0</v>
      </c>
    </row>
    <row r="35" spans="1:7" ht="76.5" x14ac:dyDescent="0.2">
      <c r="A35" s="109"/>
      <c r="B35" s="112" t="s">
        <v>134</v>
      </c>
      <c r="C35" s="175" t="s">
        <v>366</v>
      </c>
      <c r="D35" s="166" t="s">
        <v>46</v>
      </c>
      <c r="E35" s="167">
        <v>1</v>
      </c>
      <c r="F35" s="171"/>
      <c r="G35" s="172">
        <f t="shared" si="0"/>
        <v>0</v>
      </c>
    </row>
    <row r="36" spans="1:7" ht="25.5" x14ac:dyDescent="0.2">
      <c r="A36" s="109"/>
      <c r="B36" s="112" t="s">
        <v>137</v>
      </c>
      <c r="C36" s="175" t="s">
        <v>367</v>
      </c>
      <c r="D36" s="166" t="s">
        <v>132</v>
      </c>
      <c r="E36" s="167">
        <f>40*0.6</f>
        <v>24</v>
      </c>
      <c r="F36" s="171"/>
      <c r="G36" s="172">
        <f t="shared" si="0"/>
        <v>0</v>
      </c>
    </row>
    <row r="37" spans="1:7" ht="38.25" x14ac:dyDescent="0.2">
      <c r="A37" s="109"/>
      <c r="B37" s="112" t="s">
        <v>139</v>
      </c>
      <c r="C37" s="175" t="s">
        <v>519</v>
      </c>
      <c r="D37" s="166" t="s">
        <v>132</v>
      </c>
      <c r="E37" s="167">
        <f>5.8*5.8*6.55</f>
        <v>220.34199999999998</v>
      </c>
      <c r="F37" s="171"/>
      <c r="G37" s="172">
        <f t="shared" si="0"/>
        <v>0</v>
      </c>
    </row>
    <row r="38" spans="1:7" x14ac:dyDescent="0.2">
      <c r="A38" s="109"/>
      <c r="B38" s="112" t="s">
        <v>141</v>
      </c>
      <c r="C38" s="175" t="s">
        <v>368</v>
      </c>
      <c r="D38" s="166" t="s">
        <v>132</v>
      </c>
      <c r="E38" s="167">
        <v>20</v>
      </c>
      <c r="F38" s="171"/>
      <c r="G38" s="172">
        <f t="shared" si="0"/>
        <v>0</v>
      </c>
    </row>
    <row r="39" spans="1:7" ht="51" x14ac:dyDescent="0.2">
      <c r="A39" s="109"/>
      <c r="B39" s="112" t="s">
        <v>143</v>
      </c>
      <c r="C39" s="175" t="s">
        <v>465</v>
      </c>
      <c r="D39" s="166" t="s">
        <v>120</v>
      </c>
      <c r="E39" s="167">
        <v>120</v>
      </c>
      <c r="F39" s="171"/>
      <c r="G39" s="172">
        <f t="shared" si="0"/>
        <v>0</v>
      </c>
    </row>
    <row r="40" spans="1:7" ht="51" x14ac:dyDescent="0.2">
      <c r="A40" s="109"/>
      <c r="B40" s="112" t="s">
        <v>145</v>
      </c>
      <c r="C40" s="175" t="s">
        <v>369</v>
      </c>
      <c r="D40" s="166" t="s">
        <v>57</v>
      </c>
      <c r="E40" s="167">
        <v>30</v>
      </c>
      <c r="F40" s="171"/>
      <c r="G40" s="172">
        <f t="shared" si="0"/>
        <v>0</v>
      </c>
    </row>
    <row r="41" spans="1:7" ht="38.25" x14ac:dyDescent="0.2">
      <c r="A41" s="109"/>
      <c r="B41" s="112" t="s">
        <v>155</v>
      </c>
      <c r="C41" s="175" t="s">
        <v>466</v>
      </c>
      <c r="D41" s="166" t="s">
        <v>136</v>
      </c>
      <c r="E41" s="167">
        <v>90</v>
      </c>
      <c r="F41" s="171"/>
      <c r="G41" s="172">
        <f t="shared" si="0"/>
        <v>0</v>
      </c>
    </row>
    <row r="42" spans="1:7" ht="25.5" x14ac:dyDescent="0.2">
      <c r="A42" s="109"/>
      <c r="B42" s="112" t="s">
        <v>157</v>
      </c>
      <c r="C42" s="175" t="s">
        <v>370</v>
      </c>
      <c r="D42" s="166" t="s">
        <v>132</v>
      </c>
      <c r="E42" s="167">
        <f>3*30*0.25</f>
        <v>22.5</v>
      </c>
      <c r="F42" s="171"/>
      <c r="G42" s="172">
        <f t="shared" si="0"/>
        <v>0</v>
      </c>
    </row>
    <row r="43" spans="1:7" ht="38.25" x14ac:dyDescent="0.2">
      <c r="A43" s="109"/>
      <c r="B43" s="112" t="s">
        <v>159</v>
      </c>
      <c r="C43" s="175" t="s">
        <v>467</v>
      </c>
      <c r="D43" s="166" t="s">
        <v>132</v>
      </c>
      <c r="E43" s="167">
        <f>5.8*5.8*0.4</f>
        <v>13.456000000000001</v>
      </c>
      <c r="F43" s="171"/>
      <c r="G43" s="172">
        <f t="shared" si="0"/>
        <v>0</v>
      </c>
    </row>
    <row r="44" spans="1:7" ht="89.25" x14ac:dyDescent="0.2">
      <c r="A44" s="109"/>
      <c r="B44" s="112" t="s">
        <v>161</v>
      </c>
      <c r="C44" s="175" t="s">
        <v>371</v>
      </c>
      <c r="D44" s="166" t="s">
        <v>132</v>
      </c>
      <c r="E44" s="167">
        <f>+E37-(5.8*5.8*0.4+2.6*2.6*1.45+PI()*1.8^2*0.25*4+5.8*5.8*0.6)</f>
        <v>166.72123980236904</v>
      </c>
      <c r="F44" s="171"/>
      <c r="G44" s="172">
        <f t="shared" si="0"/>
        <v>0</v>
      </c>
    </row>
    <row r="45" spans="1:7" ht="25.5" x14ac:dyDescent="0.2">
      <c r="A45" s="109"/>
      <c r="B45" s="112" t="s">
        <v>198</v>
      </c>
      <c r="C45" s="168" t="s">
        <v>251</v>
      </c>
      <c r="D45" s="169" t="s">
        <v>132</v>
      </c>
      <c r="E45" s="170">
        <f>+E37+E38</f>
        <v>240.34199999999998</v>
      </c>
      <c r="F45" s="171"/>
      <c r="G45" s="172">
        <f t="shared" si="0"/>
        <v>0</v>
      </c>
    </row>
    <row r="46" spans="1:7" ht="38.25" x14ac:dyDescent="0.2">
      <c r="A46" s="109"/>
      <c r="B46" s="112" t="s">
        <v>372</v>
      </c>
      <c r="C46" s="168" t="s">
        <v>126</v>
      </c>
      <c r="D46" s="169"/>
      <c r="E46" s="170"/>
      <c r="F46" s="171"/>
      <c r="G46" s="172">
        <f>+ROUND((SUM(G34:G45)*0.1),-1)</f>
        <v>0</v>
      </c>
    </row>
    <row r="47" spans="1:7" x14ac:dyDescent="0.2">
      <c r="A47" s="109"/>
      <c r="B47" s="112"/>
      <c r="C47" s="131" t="s">
        <v>255</v>
      </c>
      <c r="D47" s="169"/>
      <c r="E47" s="170"/>
      <c r="F47" s="171"/>
      <c r="G47" s="132">
        <f>SUM(G34:G46)</f>
        <v>0</v>
      </c>
    </row>
    <row r="48" spans="1:7" x14ac:dyDescent="0.2">
      <c r="A48" s="109"/>
      <c r="B48" s="151" t="s">
        <v>75</v>
      </c>
      <c r="C48" s="131" t="s">
        <v>349</v>
      </c>
      <c r="D48" s="169"/>
      <c r="E48" s="170"/>
      <c r="F48" s="171"/>
      <c r="G48" s="172"/>
    </row>
    <row r="49" spans="1:7" x14ac:dyDescent="0.2">
      <c r="A49" s="109"/>
      <c r="B49" s="112"/>
      <c r="C49" s="176" t="s">
        <v>373</v>
      </c>
      <c r="D49" s="169"/>
      <c r="E49" s="170"/>
      <c r="F49" s="171"/>
      <c r="G49" s="172"/>
    </row>
    <row r="50" spans="1:7" ht="25.5" x14ac:dyDescent="0.2">
      <c r="A50" s="109"/>
      <c r="B50" s="221">
        <v>3101</v>
      </c>
      <c r="C50" s="222" t="s">
        <v>374</v>
      </c>
      <c r="D50" s="223" t="s">
        <v>132</v>
      </c>
      <c r="E50" s="224">
        <v>2</v>
      </c>
      <c r="F50" s="235"/>
      <c r="G50" s="225">
        <f>+ROUND((E50*F50),2)</f>
        <v>0</v>
      </c>
    </row>
    <row r="51" spans="1:7" ht="37.5" customHeight="1" x14ac:dyDescent="0.2">
      <c r="A51" s="109"/>
      <c r="B51" s="221">
        <v>3102</v>
      </c>
      <c r="C51" s="222" t="s">
        <v>478</v>
      </c>
      <c r="D51" s="226" t="s">
        <v>132</v>
      </c>
      <c r="E51" s="224">
        <f>2.6*2.6*0.25</f>
        <v>1.6900000000000002</v>
      </c>
      <c r="F51" s="235"/>
      <c r="G51" s="225">
        <f t="shared" ref="G51:G62" si="1">+ROUND((E51*F51),2)</f>
        <v>0</v>
      </c>
    </row>
    <row r="52" spans="1:7" ht="37.5" customHeight="1" x14ac:dyDescent="0.2">
      <c r="A52" s="109"/>
      <c r="B52" s="221">
        <v>3103</v>
      </c>
      <c r="C52" s="222" t="s">
        <v>479</v>
      </c>
      <c r="D52" s="226" t="s">
        <v>132</v>
      </c>
      <c r="E52" s="224">
        <f>2.6^2*1.2-1.15-0.97</f>
        <v>5.992</v>
      </c>
      <c r="F52" s="235"/>
      <c r="G52" s="225">
        <f t="shared" si="1"/>
        <v>0</v>
      </c>
    </row>
    <row r="53" spans="1:7" ht="38.25" x14ac:dyDescent="0.2">
      <c r="A53" s="109"/>
      <c r="B53" s="221">
        <v>3104</v>
      </c>
      <c r="C53" s="222" t="s">
        <v>480</v>
      </c>
      <c r="D53" s="226" t="s">
        <v>132</v>
      </c>
      <c r="E53" s="224">
        <f>2.4^2*0.2</f>
        <v>1.1519999999999999</v>
      </c>
      <c r="F53" s="235"/>
      <c r="G53" s="225">
        <f t="shared" si="1"/>
        <v>0</v>
      </c>
    </row>
    <row r="54" spans="1:7" ht="38.25" x14ac:dyDescent="0.2">
      <c r="A54" s="109"/>
      <c r="B54" s="221">
        <v>3105</v>
      </c>
      <c r="C54" s="222" t="s">
        <v>481</v>
      </c>
      <c r="D54" s="226" t="s">
        <v>132</v>
      </c>
      <c r="E54" s="224">
        <f>+(1.05*1.8-0.75*1.5)*0.33</f>
        <v>0.25245000000000006</v>
      </c>
      <c r="F54" s="235"/>
      <c r="G54" s="225">
        <f t="shared" si="1"/>
        <v>0</v>
      </c>
    </row>
    <row r="55" spans="1:7" ht="38.25" x14ac:dyDescent="0.2">
      <c r="A55" s="109"/>
      <c r="B55" s="123">
        <v>3106</v>
      </c>
      <c r="C55" s="165" t="s">
        <v>482</v>
      </c>
      <c r="D55" s="169" t="s">
        <v>132</v>
      </c>
      <c r="E55" s="170">
        <f>2*2*0.2</f>
        <v>0.8</v>
      </c>
      <c r="F55" s="171"/>
      <c r="G55" s="172">
        <f t="shared" si="1"/>
        <v>0</v>
      </c>
    </row>
    <row r="56" spans="1:7" ht="38.25" x14ac:dyDescent="0.2">
      <c r="A56" s="109"/>
      <c r="B56" s="221">
        <v>3107</v>
      </c>
      <c r="C56" s="222" t="s">
        <v>483</v>
      </c>
      <c r="D56" s="226" t="s">
        <v>132</v>
      </c>
      <c r="E56" s="224">
        <v>1.42</v>
      </c>
      <c r="F56" s="235"/>
      <c r="G56" s="225">
        <f t="shared" ref="G56" si="2">+ROUND((E56*F56),2)</f>
        <v>0</v>
      </c>
    </row>
    <row r="57" spans="1:7" ht="51" x14ac:dyDescent="0.2">
      <c r="A57" s="109"/>
      <c r="B57" s="123">
        <v>3201</v>
      </c>
      <c r="C57" s="165" t="s">
        <v>484</v>
      </c>
      <c r="D57" s="169" t="s">
        <v>375</v>
      </c>
      <c r="E57" s="170">
        <v>290.7</v>
      </c>
      <c r="F57" s="171"/>
      <c r="G57" s="172">
        <f t="shared" si="1"/>
        <v>0</v>
      </c>
    </row>
    <row r="58" spans="1:7" ht="38.25" x14ac:dyDescent="0.2">
      <c r="A58" s="109"/>
      <c r="B58" s="123">
        <v>3202</v>
      </c>
      <c r="C58" s="165" t="s">
        <v>485</v>
      </c>
      <c r="D58" s="169" t="s">
        <v>375</v>
      </c>
      <c r="E58" s="170">
        <v>347.4</v>
      </c>
      <c r="F58" s="171"/>
      <c r="G58" s="172">
        <f t="shared" si="1"/>
        <v>0</v>
      </c>
    </row>
    <row r="59" spans="1:7" ht="51" x14ac:dyDescent="0.2">
      <c r="A59" s="109"/>
      <c r="B59" s="123">
        <v>3203</v>
      </c>
      <c r="C59" s="165" t="s">
        <v>486</v>
      </c>
      <c r="D59" s="169" t="s">
        <v>375</v>
      </c>
      <c r="E59" s="170">
        <v>23.25</v>
      </c>
      <c r="F59" s="171"/>
      <c r="G59" s="172">
        <f t="shared" si="1"/>
        <v>0</v>
      </c>
    </row>
    <row r="60" spans="1:7" ht="38.25" x14ac:dyDescent="0.2">
      <c r="A60" s="109"/>
      <c r="B60" s="123">
        <v>3204</v>
      </c>
      <c r="C60" s="165" t="s">
        <v>487</v>
      </c>
      <c r="D60" s="169" t="s">
        <v>375</v>
      </c>
      <c r="E60" s="170">
        <v>66.55</v>
      </c>
      <c r="F60" s="171"/>
      <c r="G60" s="172">
        <f t="shared" si="1"/>
        <v>0</v>
      </c>
    </row>
    <row r="61" spans="1:7" ht="63.75" x14ac:dyDescent="0.2">
      <c r="A61" s="109"/>
      <c r="B61" s="123">
        <v>3205</v>
      </c>
      <c r="C61" s="165" t="s">
        <v>488</v>
      </c>
      <c r="D61" s="169" t="s">
        <v>375</v>
      </c>
      <c r="E61" s="170">
        <v>22</v>
      </c>
      <c r="F61" s="171"/>
      <c r="G61" s="172">
        <f t="shared" si="1"/>
        <v>0</v>
      </c>
    </row>
    <row r="62" spans="1:7" ht="51" x14ac:dyDescent="0.2">
      <c r="A62" s="109"/>
      <c r="B62" s="123">
        <v>3206</v>
      </c>
      <c r="C62" s="165" t="s">
        <v>489</v>
      </c>
      <c r="D62" s="169" t="s">
        <v>375</v>
      </c>
      <c r="E62" s="170">
        <v>16</v>
      </c>
      <c r="F62" s="171"/>
      <c r="G62" s="172">
        <f t="shared" si="1"/>
        <v>0</v>
      </c>
    </row>
    <row r="63" spans="1:7" x14ac:dyDescent="0.2">
      <c r="A63" s="109"/>
      <c r="B63" s="123"/>
      <c r="C63" s="176" t="s">
        <v>376</v>
      </c>
      <c r="D63" s="169"/>
      <c r="E63" s="170"/>
      <c r="F63" s="171"/>
      <c r="G63" s="172"/>
    </row>
    <row r="64" spans="1:7" ht="51" x14ac:dyDescent="0.2">
      <c r="A64" s="109"/>
      <c r="B64" s="123">
        <v>3401</v>
      </c>
      <c r="C64" s="168" t="s">
        <v>468</v>
      </c>
      <c r="D64" s="169" t="s">
        <v>136</v>
      </c>
      <c r="E64" s="170">
        <f>4*2.6*1.45+2*(2+1.3)+2*(1.3+0.55)</f>
        <v>25.38</v>
      </c>
      <c r="F64" s="171"/>
      <c r="G64" s="172">
        <f>+ROUND((E64*F64),2)</f>
        <v>0</v>
      </c>
    </row>
    <row r="65" spans="1:7" ht="63.75" x14ac:dyDescent="0.2">
      <c r="A65" s="109"/>
      <c r="B65" s="123">
        <v>3402</v>
      </c>
      <c r="C65" s="168" t="s">
        <v>469</v>
      </c>
      <c r="D65" s="169" t="s">
        <v>136</v>
      </c>
      <c r="E65" s="170">
        <f>2*(1.8+1.5+1.05+0.75)*0.33</f>
        <v>3.3660000000000001</v>
      </c>
      <c r="F65" s="171"/>
      <c r="G65" s="172">
        <f>+ROUND((E65*F65),2)</f>
        <v>0</v>
      </c>
    </row>
    <row r="66" spans="1:7" ht="63.75" x14ac:dyDescent="0.2">
      <c r="A66" s="109"/>
      <c r="B66" s="123">
        <v>3403</v>
      </c>
      <c r="C66" s="168" t="s">
        <v>490</v>
      </c>
      <c r="D66" s="169" t="s">
        <v>136</v>
      </c>
      <c r="E66" s="170">
        <f>4*2.4*0.2+2.4*2.4+4*2*0.25+2*2</f>
        <v>13.68</v>
      </c>
      <c r="F66" s="171"/>
      <c r="G66" s="172">
        <f>+ROUND((E66*F66),2)</f>
        <v>0</v>
      </c>
    </row>
    <row r="67" spans="1:7" x14ac:dyDescent="0.2">
      <c r="A67" s="109"/>
      <c r="B67" s="123"/>
      <c r="C67" s="176" t="s">
        <v>377</v>
      </c>
      <c r="D67" s="169"/>
      <c r="E67" s="170"/>
      <c r="F67" s="171"/>
      <c r="G67" s="172"/>
    </row>
    <row r="68" spans="1:7" ht="25.5" x14ac:dyDescent="0.2">
      <c r="A68" s="109"/>
      <c r="B68" s="112" t="s">
        <v>378</v>
      </c>
      <c r="C68" s="124" t="s">
        <v>470</v>
      </c>
      <c r="D68" s="169" t="s">
        <v>132</v>
      </c>
      <c r="E68" s="170">
        <f>0.6*0.9*20</f>
        <v>10.8</v>
      </c>
      <c r="F68" s="171"/>
      <c r="G68" s="172">
        <f t="shared" ref="G68:G73" si="3">E68*F68</f>
        <v>0</v>
      </c>
    </row>
    <row r="69" spans="1:7" ht="38.25" x14ac:dyDescent="0.2">
      <c r="A69" s="109"/>
      <c r="B69" s="112" t="s">
        <v>379</v>
      </c>
      <c r="C69" s="124" t="s">
        <v>471</v>
      </c>
      <c r="D69" s="169" t="s">
        <v>132</v>
      </c>
      <c r="E69" s="170">
        <f>0.4*0.9*(30)</f>
        <v>10.8</v>
      </c>
      <c r="F69" s="171"/>
      <c r="G69" s="172">
        <f t="shared" si="3"/>
        <v>0</v>
      </c>
    </row>
    <row r="70" spans="1:7" ht="51" x14ac:dyDescent="0.2">
      <c r="A70" s="109"/>
      <c r="B70" s="112" t="s">
        <v>380</v>
      </c>
      <c r="C70" s="124" t="s">
        <v>381</v>
      </c>
      <c r="D70" s="169" t="s">
        <v>132</v>
      </c>
      <c r="E70" s="170">
        <f>0.6*0.5*20</f>
        <v>6</v>
      </c>
      <c r="F70" s="171"/>
      <c r="G70" s="172">
        <f t="shared" si="3"/>
        <v>0</v>
      </c>
    </row>
    <row r="71" spans="1:7" ht="38.25" x14ac:dyDescent="0.2">
      <c r="A71" s="109"/>
      <c r="B71" s="112" t="s">
        <v>382</v>
      </c>
      <c r="C71" s="124" t="s">
        <v>472</v>
      </c>
      <c r="D71" s="169" t="s">
        <v>171</v>
      </c>
      <c r="E71" s="170">
        <v>20</v>
      </c>
      <c r="F71" s="171"/>
      <c r="G71" s="172">
        <f t="shared" si="3"/>
        <v>0</v>
      </c>
    </row>
    <row r="72" spans="1:7" ht="25.5" x14ac:dyDescent="0.2">
      <c r="A72" s="109"/>
      <c r="B72" s="112" t="s">
        <v>383</v>
      </c>
      <c r="C72" s="124" t="s">
        <v>473</v>
      </c>
      <c r="D72" s="169" t="s">
        <v>171</v>
      </c>
      <c r="E72" s="170">
        <v>2</v>
      </c>
      <c r="F72" s="171"/>
      <c r="G72" s="172">
        <f t="shared" si="3"/>
        <v>0</v>
      </c>
    </row>
    <row r="73" spans="1:7" ht="38.25" x14ac:dyDescent="0.2">
      <c r="A73" s="109"/>
      <c r="B73" s="112" t="s">
        <v>384</v>
      </c>
      <c r="C73" s="124" t="s">
        <v>474</v>
      </c>
      <c r="D73" s="169" t="s">
        <v>171</v>
      </c>
      <c r="E73" s="170">
        <v>8</v>
      </c>
      <c r="F73" s="171"/>
      <c r="G73" s="172">
        <f t="shared" si="3"/>
        <v>0</v>
      </c>
    </row>
    <row r="74" spans="1:7" ht="38.25" x14ac:dyDescent="0.2">
      <c r="A74" s="109"/>
      <c r="B74" s="112" t="s">
        <v>385</v>
      </c>
      <c r="C74" s="124" t="s">
        <v>386</v>
      </c>
      <c r="D74" s="164" t="s">
        <v>132</v>
      </c>
      <c r="E74" s="170">
        <f>+E68+E69-E70</f>
        <v>15.600000000000001</v>
      </c>
      <c r="F74" s="171"/>
      <c r="G74" s="172">
        <f>+ROUND((E74*F74),2)</f>
        <v>0</v>
      </c>
    </row>
    <row r="75" spans="1:7" ht="38.25" x14ac:dyDescent="0.2">
      <c r="A75" s="109"/>
      <c r="B75" s="112" t="s">
        <v>387</v>
      </c>
      <c r="C75" s="168" t="s">
        <v>126</v>
      </c>
      <c r="D75" s="169"/>
      <c r="E75" s="170"/>
      <c r="F75" s="171"/>
      <c r="G75" s="172">
        <f>+ROUND((SUM(G49:G74)*0.1),-1)</f>
        <v>0</v>
      </c>
    </row>
    <row r="76" spans="1:7" x14ac:dyDescent="0.2">
      <c r="A76" s="109"/>
      <c r="B76" s="112"/>
      <c r="C76" s="131" t="s">
        <v>388</v>
      </c>
      <c r="D76" s="169"/>
      <c r="E76" s="170"/>
      <c r="F76" s="171"/>
      <c r="G76" s="132">
        <f>SUM(G49:G75)</f>
        <v>0</v>
      </c>
    </row>
    <row r="77" spans="1:7" x14ac:dyDescent="0.2">
      <c r="A77" s="109"/>
      <c r="B77" s="151" t="s">
        <v>77</v>
      </c>
      <c r="C77" s="131" t="s">
        <v>350</v>
      </c>
      <c r="D77" s="169"/>
      <c r="E77" s="170"/>
      <c r="F77" s="171"/>
      <c r="G77" s="132"/>
    </row>
    <row r="78" spans="1:7" ht="204" x14ac:dyDescent="0.2">
      <c r="A78" s="109"/>
      <c r="B78" s="177">
        <v>4101</v>
      </c>
      <c r="C78" s="165" t="s">
        <v>475</v>
      </c>
      <c r="D78" s="169" t="s">
        <v>46</v>
      </c>
      <c r="E78" s="170">
        <v>1</v>
      </c>
      <c r="F78" s="171"/>
      <c r="G78" s="172">
        <f>F78*E78</f>
        <v>0</v>
      </c>
    </row>
    <row r="79" spans="1:7" ht="102" x14ac:dyDescent="0.2">
      <c r="A79" s="109"/>
      <c r="B79" s="227">
        <v>4002</v>
      </c>
      <c r="C79" s="228" t="s">
        <v>476</v>
      </c>
      <c r="D79" s="229" t="s">
        <v>64</v>
      </c>
      <c r="E79" s="229">
        <v>1</v>
      </c>
      <c r="F79" s="237"/>
      <c r="G79" s="231">
        <f t="shared" ref="G79:G80" si="4">+ROUND((E79*F79),2)</f>
        <v>0</v>
      </c>
    </row>
    <row r="80" spans="1:7" ht="89.25" x14ac:dyDescent="0.2">
      <c r="A80" s="109"/>
      <c r="B80" s="227">
        <v>4003</v>
      </c>
      <c r="C80" s="228" t="s">
        <v>477</v>
      </c>
      <c r="D80" s="229" t="s">
        <v>95</v>
      </c>
      <c r="E80" s="229">
        <v>1</v>
      </c>
      <c r="F80" s="237"/>
      <c r="G80" s="231">
        <f t="shared" si="4"/>
        <v>0</v>
      </c>
    </row>
    <row r="81" spans="1:7" ht="38.25" x14ac:dyDescent="0.2">
      <c r="A81" s="109"/>
      <c r="B81" s="112" t="s">
        <v>228</v>
      </c>
      <c r="C81" s="168" t="s">
        <v>126</v>
      </c>
      <c r="D81" s="169"/>
      <c r="E81" s="170"/>
      <c r="F81" s="171"/>
      <c r="G81" s="172">
        <f>+ROUND((SUM(G78:G80)*0.1),-1)</f>
        <v>0</v>
      </c>
    </row>
    <row r="82" spans="1:7" x14ac:dyDescent="0.2">
      <c r="A82" s="109"/>
      <c r="B82" s="112"/>
      <c r="C82" s="131" t="s">
        <v>389</v>
      </c>
      <c r="D82" s="169"/>
      <c r="E82" s="170"/>
      <c r="F82" s="171"/>
      <c r="G82" s="132">
        <f>SUM(G78:G81)</f>
        <v>0</v>
      </c>
    </row>
    <row r="83" spans="1:7" x14ac:dyDescent="0.2">
      <c r="A83" s="109"/>
      <c r="B83" s="151" t="s">
        <v>79</v>
      </c>
      <c r="C83" s="131" t="s">
        <v>351</v>
      </c>
      <c r="D83" s="169"/>
      <c r="E83" s="170"/>
      <c r="F83" s="171"/>
      <c r="G83" s="132"/>
    </row>
    <row r="84" spans="1:7" x14ac:dyDescent="0.2">
      <c r="A84" s="109"/>
      <c r="B84" s="112" t="s">
        <v>256</v>
      </c>
      <c r="C84" s="176" t="s">
        <v>390</v>
      </c>
      <c r="D84" s="169"/>
      <c r="E84" s="170"/>
      <c r="F84" s="171"/>
      <c r="G84" s="132"/>
    </row>
    <row r="85" spans="1:7" ht="51" x14ac:dyDescent="0.2">
      <c r="A85" s="109"/>
      <c r="B85" s="112" t="s">
        <v>258</v>
      </c>
      <c r="C85" s="176" t="s">
        <v>391</v>
      </c>
      <c r="D85" s="169" t="s">
        <v>171</v>
      </c>
      <c r="E85" s="170">
        <v>5</v>
      </c>
      <c r="F85" s="171"/>
      <c r="G85" s="172">
        <f t="shared" ref="G85:G96" si="5">+ROUND((E85*F85),2)</f>
        <v>0</v>
      </c>
    </row>
    <row r="86" spans="1:7" ht="38.25" x14ac:dyDescent="0.2">
      <c r="A86" s="109"/>
      <c r="B86" s="112" t="s">
        <v>260</v>
      </c>
      <c r="C86" s="176" t="s">
        <v>392</v>
      </c>
      <c r="D86" s="169" t="s">
        <v>64</v>
      </c>
      <c r="E86" s="170">
        <v>2</v>
      </c>
      <c r="F86" s="171"/>
      <c r="G86" s="172">
        <f t="shared" si="5"/>
        <v>0</v>
      </c>
    </row>
    <row r="87" spans="1:7" ht="43.5" customHeight="1" x14ac:dyDescent="0.2">
      <c r="A87" s="109"/>
      <c r="B87" s="112" t="s">
        <v>262</v>
      </c>
      <c r="C87" s="168" t="s">
        <v>393</v>
      </c>
      <c r="D87" s="169" t="s">
        <v>132</v>
      </c>
      <c r="E87" s="170">
        <f>1.4*E85*90%</f>
        <v>6.3</v>
      </c>
      <c r="F87" s="171"/>
      <c r="G87" s="172">
        <f t="shared" si="5"/>
        <v>0</v>
      </c>
    </row>
    <row r="88" spans="1:7" ht="51" x14ac:dyDescent="0.2">
      <c r="A88" s="109"/>
      <c r="B88" s="112" t="s">
        <v>394</v>
      </c>
      <c r="C88" s="168" t="s">
        <v>395</v>
      </c>
      <c r="D88" s="169" t="s">
        <v>132</v>
      </c>
      <c r="E88" s="170">
        <f>1.4*E85*10%</f>
        <v>0.70000000000000007</v>
      </c>
      <c r="F88" s="171"/>
      <c r="G88" s="172">
        <f t="shared" si="5"/>
        <v>0</v>
      </c>
    </row>
    <row r="89" spans="1:7" ht="25.5" x14ac:dyDescent="0.2">
      <c r="A89" s="109"/>
      <c r="B89" s="112" t="s">
        <v>396</v>
      </c>
      <c r="C89" s="176" t="s">
        <v>397</v>
      </c>
      <c r="D89" s="169" t="s">
        <v>136</v>
      </c>
      <c r="E89" s="170">
        <f>0.5*E85</f>
        <v>2.5</v>
      </c>
      <c r="F89" s="171"/>
      <c r="G89" s="172">
        <f t="shared" si="5"/>
        <v>0</v>
      </c>
    </row>
    <row r="90" spans="1:7" ht="25.5" x14ac:dyDescent="0.2">
      <c r="A90" s="109"/>
      <c r="B90" s="112" t="s">
        <v>398</v>
      </c>
      <c r="C90" s="178" t="s">
        <v>399</v>
      </c>
      <c r="D90" s="169" t="s">
        <v>132</v>
      </c>
      <c r="E90" s="170">
        <f>0.5*E85*0.1</f>
        <v>0.25</v>
      </c>
      <c r="F90" s="171"/>
      <c r="G90" s="172">
        <f t="shared" si="5"/>
        <v>0</v>
      </c>
    </row>
    <row r="91" spans="1:7" ht="102" x14ac:dyDescent="0.2">
      <c r="A91" s="109"/>
      <c r="B91" s="112" t="s">
        <v>400</v>
      </c>
      <c r="C91" s="178" t="s">
        <v>401</v>
      </c>
      <c r="D91" s="169" t="s">
        <v>132</v>
      </c>
      <c r="E91" s="170">
        <f>0.3*E85</f>
        <v>1.5</v>
      </c>
      <c r="F91" s="171"/>
      <c r="G91" s="172">
        <f t="shared" si="5"/>
        <v>0</v>
      </c>
    </row>
    <row r="92" spans="1:7" ht="38.25" x14ac:dyDescent="0.2">
      <c r="A92" s="109"/>
      <c r="B92" s="112" t="s">
        <v>402</v>
      </c>
      <c r="C92" s="178" t="s">
        <v>403</v>
      </c>
      <c r="D92" s="169" t="s">
        <v>132</v>
      </c>
      <c r="E92" s="170">
        <f>1*E85</f>
        <v>5</v>
      </c>
      <c r="F92" s="171"/>
      <c r="G92" s="172">
        <f t="shared" si="5"/>
        <v>0</v>
      </c>
    </row>
    <row r="93" spans="1:7" ht="51" x14ac:dyDescent="0.2">
      <c r="A93" s="109"/>
      <c r="B93" s="112" t="s">
        <v>404</v>
      </c>
      <c r="C93" s="168" t="s">
        <v>243</v>
      </c>
      <c r="D93" s="169" t="s">
        <v>136</v>
      </c>
      <c r="E93" s="170">
        <f>4*E85</f>
        <v>20</v>
      </c>
      <c r="F93" s="171"/>
      <c r="G93" s="172">
        <f t="shared" si="5"/>
        <v>0</v>
      </c>
    </row>
    <row r="94" spans="1:7" ht="51" x14ac:dyDescent="0.2">
      <c r="A94" s="109"/>
      <c r="B94" s="112" t="s">
        <v>405</v>
      </c>
      <c r="C94" s="168" t="s">
        <v>406</v>
      </c>
      <c r="D94" s="169" t="s">
        <v>132</v>
      </c>
      <c r="E94" s="170">
        <f>+E87+E88</f>
        <v>7</v>
      </c>
      <c r="F94" s="171"/>
      <c r="G94" s="172">
        <f t="shared" si="5"/>
        <v>0</v>
      </c>
    </row>
    <row r="95" spans="1:7" ht="25.5" x14ac:dyDescent="0.2">
      <c r="A95" s="109"/>
      <c r="B95" s="112" t="s">
        <v>407</v>
      </c>
      <c r="C95" s="168" t="s">
        <v>408</v>
      </c>
      <c r="D95" s="169" t="s">
        <v>64</v>
      </c>
      <c r="E95" s="170">
        <v>1</v>
      </c>
      <c r="F95" s="171"/>
      <c r="G95" s="172">
        <f t="shared" si="5"/>
        <v>0</v>
      </c>
    </row>
    <row r="96" spans="1:7" ht="38.25" x14ac:dyDescent="0.2">
      <c r="A96" s="109"/>
      <c r="B96" s="112" t="s">
        <v>491</v>
      </c>
      <c r="C96" s="168" t="s">
        <v>492</v>
      </c>
      <c r="D96" s="169" t="s">
        <v>64</v>
      </c>
      <c r="E96" s="170">
        <v>1</v>
      </c>
      <c r="F96" s="171"/>
      <c r="G96" s="172">
        <f t="shared" si="5"/>
        <v>0</v>
      </c>
    </row>
    <row r="97" spans="1:7" ht="25.5" x14ac:dyDescent="0.2">
      <c r="A97" s="109"/>
      <c r="B97" s="112"/>
      <c r="C97" s="168" t="s">
        <v>409</v>
      </c>
      <c r="D97" s="169"/>
      <c r="E97" s="170"/>
      <c r="F97" s="171"/>
      <c r="G97" s="132">
        <f>SUM(G85:G96)</f>
        <v>0</v>
      </c>
    </row>
    <row r="98" spans="1:7" x14ac:dyDescent="0.2">
      <c r="A98" s="109"/>
      <c r="B98" s="112" t="s">
        <v>264</v>
      </c>
      <c r="C98" s="113" t="s">
        <v>410</v>
      </c>
      <c r="D98" s="169"/>
      <c r="E98" s="170"/>
      <c r="F98" s="171"/>
      <c r="G98" s="172"/>
    </row>
    <row r="99" spans="1:7" ht="51" x14ac:dyDescent="0.2">
      <c r="A99" s="109"/>
      <c r="B99" s="112" t="s">
        <v>266</v>
      </c>
      <c r="C99" s="124" t="s">
        <v>411</v>
      </c>
      <c r="D99" s="169" t="s">
        <v>46</v>
      </c>
      <c r="E99" s="170">
        <v>1</v>
      </c>
      <c r="F99" s="171"/>
      <c r="G99" s="172">
        <f>+ROUND((E99*F99),2)</f>
        <v>0</v>
      </c>
    </row>
    <row r="100" spans="1:7" ht="38.25" x14ac:dyDescent="0.2">
      <c r="A100" s="109"/>
      <c r="B100" s="112" t="s">
        <v>268</v>
      </c>
      <c r="C100" s="124" t="s">
        <v>412</v>
      </c>
      <c r="D100" s="169" t="s">
        <v>171</v>
      </c>
      <c r="E100" s="170">
        <f>+E85</f>
        <v>5</v>
      </c>
      <c r="F100" s="171"/>
      <c r="G100" s="172">
        <f>+ROUND((E100*F100),2)</f>
        <v>0</v>
      </c>
    </row>
    <row r="101" spans="1:7" ht="25.5" x14ac:dyDescent="0.2">
      <c r="A101" s="109"/>
      <c r="B101" s="112" t="s">
        <v>270</v>
      </c>
      <c r="C101" s="124" t="s">
        <v>413</v>
      </c>
      <c r="D101" s="169" t="s">
        <v>64</v>
      </c>
      <c r="E101" s="170">
        <v>1</v>
      </c>
      <c r="F101" s="171"/>
      <c r="G101" s="172">
        <f>+ROUND((E101*F101),2)</f>
        <v>0</v>
      </c>
    </row>
    <row r="102" spans="1:7" ht="25.5" x14ac:dyDescent="0.2">
      <c r="A102" s="109"/>
      <c r="B102" s="112" t="s">
        <v>272</v>
      </c>
      <c r="C102" s="124" t="s">
        <v>493</v>
      </c>
      <c r="D102" s="169" t="s">
        <v>64</v>
      </c>
      <c r="E102" s="170">
        <v>1</v>
      </c>
      <c r="F102" s="171"/>
      <c r="G102" s="172">
        <f>+ROUND((E102*F102),2)</f>
        <v>0</v>
      </c>
    </row>
    <row r="103" spans="1:7" ht="25.5" x14ac:dyDescent="0.2">
      <c r="A103" s="109"/>
      <c r="B103" s="112" t="s">
        <v>274</v>
      </c>
      <c r="C103" s="124" t="s">
        <v>414</v>
      </c>
      <c r="D103" s="169" t="s">
        <v>171</v>
      </c>
      <c r="E103" s="170">
        <f>+E85</f>
        <v>5</v>
      </c>
      <c r="F103" s="171"/>
      <c r="G103" s="172">
        <f>+ROUND((E103*F103),2)</f>
        <v>0</v>
      </c>
    </row>
    <row r="104" spans="1:7" x14ac:dyDescent="0.2">
      <c r="A104" s="109"/>
      <c r="B104" s="112"/>
      <c r="C104" s="168" t="s">
        <v>415</v>
      </c>
      <c r="D104" s="169"/>
      <c r="E104" s="170"/>
      <c r="F104" s="171"/>
      <c r="G104" s="132">
        <f>SUM(G99:G103)</f>
        <v>0</v>
      </c>
    </row>
    <row r="105" spans="1:7" x14ac:dyDescent="0.2">
      <c r="A105" s="109"/>
      <c r="B105" s="112" t="s">
        <v>278</v>
      </c>
      <c r="C105" s="113" t="s">
        <v>416</v>
      </c>
      <c r="D105" s="169"/>
      <c r="E105" s="170"/>
      <c r="F105" s="171"/>
      <c r="G105" s="172"/>
    </row>
    <row r="106" spans="1:7" x14ac:dyDescent="0.2">
      <c r="A106" s="109"/>
      <c r="B106" s="112" t="s">
        <v>280</v>
      </c>
      <c r="C106" s="113" t="s">
        <v>417</v>
      </c>
      <c r="D106" s="169" t="s">
        <v>171</v>
      </c>
      <c r="E106" s="170">
        <f>+E85</f>
        <v>5</v>
      </c>
      <c r="F106" s="171"/>
      <c r="G106" s="172">
        <f t="shared" ref="G106:G111" si="6">+ROUND((E106*F106),2)</f>
        <v>0</v>
      </c>
    </row>
    <row r="107" spans="1:7" x14ac:dyDescent="0.2">
      <c r="A107" s="109"/>
      <c r="B107" s="112" t="s">
        <v>282</v>
      </c>
      <c r="C107" s="113" t="s">
        <v>418</v>
      </c>
      <c r="D107" s="169" t="s">
        <v>171</v>
      </c>
      <c r="E107" s="170">
        <f>+E85</f>
        <v>5</v>
      </c>
      <c r="F107" s="171"/>
      <c r="G107" s="172">
        <f t="shared" si="6"/>
        <v>0</v>
      </c>
    </row>
    <row r="108" spans="1:7" ht="51" x14ac:dyDescent="0.2">
      <c r="A108" s="109"/>
      <c r="B108" s="112" t="s">
        <v>284</v>
      </c>
      <c r="C108" s="178" t="s">
        <v>494</v>
      </c>
      <c r="D108" s="169" t="s">
        <v>46</v>
      </c>
      <c r="E108" s="170">
        <v>1</v>
      </c>
      <c r="F108" s="171"/>
      <c r="G108" s="172">
        <f t="shared" si="6"/>
        <v>0</v>
      </c>
    </row>
    <row r="109" spans="1:7" ht="76.5" x14ac:dyDescent="0.2">
      <c r="A109" s="109"/>
      <c r="B109" s="112" t="s">
        <v>286</v>
      </c>
      <c r="C109" s="178" t="s">
        <v>495</v>
      </c>
      <c r="D109" s="169" t="s">
        <v>46</v>
      </c>
      <c r="E109" s="170">
        <v>1</v>
      </c>
      <c r="F109" s="171"/>
      <c r="G109" s="172">
        <f t="shared" si="6"/>
        <v>0</v>
      </c>
    </row>
    <row r="110" spans="1:7" ht="25.5" x14ac:dyDescent="0.2">
      <c r="A110" s="109"/>
      <c r="B110" s="112" t="s">
        <v>419</v>
      </c>
      <c r="C110" s="178" t="s">
        <v>420</v>
      </c>
      <c r="D110" s="169" t="s">
        <v>64</v>
      </c>
      <c r="E110" s="170">
        <v>1</v>
      </c>
      <c r="F110" s="171"/>
      <c r="G110" s="172">
        <f t="shared" si="6"/>
        <v>0</v>
      </c>
    </row>
    <row r="111" spans="1:7" ht="38.25" x14ac:dyDescent="0.2">
      <c r="A111" s="109"/>
      <c r="B111" s="112" t="s">
        <v>421</v>
      </c>
      <c r="C111" s="178" t="s">
        <v>422</v>
      </c>
      <c r="D111" s="169" t="s">
        <v>64</v>
      </c>
      <c r="E111" s="170">
        <v>1</v>
      </c>
      <c r="F111" s="171"/>
      <c r="G111" s="172">
        <f t="shared" si="6"/>
        <v>0</v>
      </c>
    </row>
    <row r="112" spans="1:7" x14ac:dyDescent="0.2">
      <c r="A112" s="109"/>
      <c r="B112" s="112"/>
      <c r="C112" s="168" t="s">
        <v>423</v>
      </c>
      <c r="D112" s="169"/>
      <c r="E112" s="170"/>
      <c r="F112" s="171"/>
      <c r="G112" s="132">
        <f>SUM(G106:G111)</f>
        <v>0</v>
      </c>
    </row>
    <row r="113" spans="1:8" x14ac:dyDescent="0.2">
      <c r="A113" s="109"/>
      <c r="B113" s="112"/>
      <c r="C113" s="131" t="s">
        <v>424</v>
      </c>
      <c r="D113" s="169"/>
      <c r="E113" s="170"/>
      <c r="F113" s="171"/>
      <c r="G113" s="132">
        <f>+G97+G104+G112</f>
        <v>0</v>
      </c>
    </row>
    <row r="114" spans="1:8" x14ac:dyDescent="0.2">
      <c r="A114" s="109"/>
      <c r="B114" s="151" t="s">
        <v>81</v>
      </c>
      <c r="C114" s="131" t="s">
        <v>352</v>
      </c>
      <c r="D114" s="169"/>
      <c r="E114" s="115"/>
      <c r="F114" s="330"/>
      <c r="G114" s="113"/>
      <c r="H114" s="150"/>
    </row>
    <row r="115" spans="1:8" ht="51" x14ac:dyDescent="0.2">
      <c r="A115" s="109"/>
      <c r="B115" s="112">
        <v>6101</v>
      </c>
      <c r="C115" s="168" t="s">
        <v>425</v>
      </c>
      <c r="D115" s="169" t="s">
        <v>136</v>
      </c>
      <c r="E115" s="170">
        <v>50</v>
      </c>
      <c r="F115" s="171"/>
      <c r="G115" s="172">
        <f t="shared" ref="G115:G121" si="7">+ROUND((E115*F115),2)</f>
        <v>0</v>
      </c>
    </row>
    <row r="116" spans="1:8" ht="25.5" x14ac:dyDescent="0.2">
      <c r="A116" s="109"/>
      <c r="B116" s="112">
        <v>6102</v>
      </c>
      <c r="C116" s="168" t="s">
        <v>160</v>
      </c>
      <c r="D116" s="169" t="s">
        <v>136</v>
      </c>
      <c r="E116" s="170">
        <f>+E115</f>
        <v>50</v>
      </c>
      <c r="F116" s="171"/>
      <c r="G116" s="172">
        <f t="shared" si="7"/>
        <v>0</v>
      </c>
    </row>
    <row r="117" spans="1:8" ht="25.5" x14ac:dyDescent="0.2">
      <c r="A117" s="109"/>
      <c r="B117" s="112">
        <v>6103</v>
      </c>
      <c r="C117" s="168" t="s">
        <v>426</v>
      </c>
      <c r="D117" s="169" t="s">
        <v>132</v>
      </c>
      <c r="E117" s="170">
        <f>+E116*0.4</f>
        <v>20</v>
      </c>
      <c r="F117" s="171"/>
      <c r="G117" s="172">
        <f t="shared" si="7"/>
        <v>0</v>
      </c>
    </row>
    <row r="118" spans="1:8" ht="38.25" x14ac:dyDescent="0.2">
      <c r="A118" s="109"/>
      <c r="B118" s="112">
        <v>6104</v>
      </c>
      <c r="C118" s="168" t="s">
        <v>427</v>
      </c>
      <c r="D118" s="169" t="s">
        <v>132</v>
      </c>
      <c r="E118" s="170">
        <f>+E116*0.2</f>
        <v>10</v>
      </c>
      <c r="F118" s="171"/>
      <c r="G118" s="172">
        <f t="shared" si="7"/>
        <v>0</v>
      </c>
    </row>
    <row r="119" spans="1:8" ht="25.5" x14ac:dyDescent="0.2">
      <c r="A119" s="109"/>
      <c r="B119" s="112">
        <v>6105</v>
      </c>
      <c r="C119" s="124" t="s">
        <v>428</v>
      </c>
      <c r="D119" s="169" t="s">
        <v>136</v>
      </c>
      <c r="E119" s="179">
        <f>+E116</f>
        <v>50</v>
      </c>
      <c r="F119" s="171"/>
      <c r="G119" s="172">
        <f t="shared" si="7"/>
        <v>0</v>
      </c>
    </row>
    <row r="120" spans="1:8" ht="38.25" x14ac:dyDescent="0.2">
      <c r="A120" s="109"/>
      <c r="B120" s="112">
        <v>6106</v>
      </c>
      <c r="C120" s="168" t="s">
        <v>429</v>
      </c>
      <c r="D120" s="169" t="s">
        <v>136</v>
      </c>
      <c r="E120" s="170">
        <f>+E115</f>
        <v>50</v>
      </c>
      <c r="F120" s="171"/>
      <c r="G120" s="172">
        <f t="shared" si="7"/>
        <v>0</v>
      </c>
    </row>
    <row r="121" spans="1:8" ht="25.5" x14ac:dyDescent="0.2">
      <c r="A121" s="109"/>
      <c r="B121" s="112">
        <v>6107</v>
      </c>
      <c r="C121" s="168" t="s">
        <v>185</v>
      </c>
      <c r="D121" s="169" t="s">
        <v>57</v>
      </c>
      <c r="E121" s="170">
        <v>12</v>
      </c>
      <c r="F121" s="171"/>
      <c r="G121" s="172">
        <f t="shared" si="7"/>
        <v>0</v>
      </c>
    </row>
    <row r="122" spans="1:8" ht="38.25" x14ac:dyDescent="0.2">
      <c r="A122" s="109"/>
      <c r="B122" s="112">
        <v>6110</v>
      </c>
      <c r="C122" s="165" t="s">
        <v>496</v>
      </c>
      <c r="D122" s="164" t="s">
        <v>171</v>
      </c>
      <c r="E122" s="170">
        <v>10</v>
      </c>
      <c r="F122" s="171"/>
      <c r="G122" s="172">
        <f>+E122*F122</f>
        <v>0</v>
      </c>
    </row>
    <row r="123" spans="1:8" ht="25.5" x14ac:dyDescent="0.2">
      <c r="B123" s="112">
        <v>6113</v>
      </c>
      <c r="C123" s="168" t="s">
        <v>430</v>
      </c>
      <c r="D123" s="169" t="s">
        <v>136</v>
      </c>
      <c r="E123" s="179">
        <v>10</v>
      </c>
      <c r="F123" s="180"/>
      <c r="G123" s="172">
        <f>E123*F123</f>
        <v>0</v>
      </c>
    </row>
    <row r="124" spans="1:8" ht="25.5" x14ac:dyDescent="0.2">
      <c r="B124" s="112">
        <v>6114</v>
      </c>
      <c r="C124" s="168" t="s">
        <v>431</v>
      </c>
      <c r="D124" s="169" t="s">
        <v>136</v>
      </c>
      <c r="E124" s="179">
        <f>+E123</f>
        <v>10</v>
      </c>
      <c r="F124" s="180"/>
      <c r="G124" s="172">
        <f>E124*F124</f>
        <v>0</v>
      </c>
    </row>
    <row r="125" spans="1:8" ht="38.25" x14ac:dyDescent="0.2">
      <c r="B125" s="112">
        <v>6115</v>
      </c>
      <c r="C125" s="168" t="s">
        <v>126</v>
      </c>
      <c r="D125" s="169"/>
      <c r="E125" s="170"/>
      <c r="F125" s="171"/>
      <c r="G125" s="172">
        <f>+ROUND((SUM(G115:G124)*0.1),-1)</f>
        <v>0</v>
      </c>
    </row>
    <row r="126" spans="1:8" x14ac:dyDescent="0.2">
      <c r="B126" s="112"/>
      <c r="C126" s="131" t="s">
        <v>432</v>
      </c>
      <c r="D126" s="169"/>
      <c r="E126" s="170"/>
      <c r="F126" s="171"/>
      <c r="G126" s="132">
        <f>SUM(G115:G125)</f>
        <v>0</v>
      </c>
    </row>
    <row r="127" spans="1:8" x14ac:dyDescent="0.2">
      <c r="B127" s="151" t="s">
        <v>353</v>
      </c>
      <c r="C127" s="131" t="s">
        <v>354</v>
      </c>
      <c r="D127" s="169"/>
      <c r="E127" s="115"/>
      <c r="F127" s="330"/>
      <c r="G127" s="113"/>
    </row>
    <row r="128" spans="1:8" ht="76.5" x14ac:dyDescent="0.2">
      <c r="B128" s="112"/>
      <c r="C128" s="181" t="s">
        <v>433</v>
      </c>
      <c r="D128" s="169"/>
      <c r="E128" s="170"/>
      <c r="F128" s="171"/>
      <c r="G128" s="172"/>
    </row>
    <row r="129" spans="2:18" ht="219.75" customHeight="1" x14ac:dyDescent="0.2">
      <c r="B129" s="112" t="s">
        <v>434</v>
      </c>
      <c r="C129" s="168" t="s">
        <v>498</v>
      </c>
      <c r="D129" s="169"/>
      <c r="E129" s="170"/>
      <c r="F129" s="171"/>
      <c r="G129" s="172"/>
    </row>
    <row r="130" spans="2:18" ht="25.5" x14ac:dyDescent="0.2">
      <c r="B130" s="112"/>
      <c r="C130" s="182" t="s">
        <v>499</v>
      </c>
      <c r="D130" s="183"/>
      <c r="E130" s="184"/>
      <c r="F130" s="171"/>
      <c r="G130" s="172"/>
    </row>
    <row r="131" spans="2:18" ht="25.5" x14ac:dyDescent="0.2">
      <c r="B131" s="112"/>
      <c r="C131" s="182" t="s">
        <v>500</v>
      </c>
      <c r="D131" s="183"/>
      <c r="E131" s="184"/>
      <c r="F131" s="171"/>
      <c r="G131" s="172"/>
    </row>
    <row r="132" spans="2:18" x14ac:dyDescent="0.2">
      <c r="B132" s="112"/>
      <c r="C132" s="182" t="s">
        <v>435</v>
      </c>
      <c r="D132" s="183"/>
      <c r="E132" s="184"/>
      <c r="F132" s="171"/>
      <c r="G132" s="172"/>
    </row>
    <row r="133" spans="2:18" x14ac:dyDescent="0.2">
      <c r="B133" s="112"/>
      <c r="C133" s="182" t="s">
        <v>436</v>
      </c>
      <c r="D133" s="183"/>
      <c r="E133" s="184"/>
      <c r="F133" s="171"/>
      <c r="G133" s="172"/>
    </row>
    <row r="134" spans="2:18" x14ac:dyDescent="0.2">
      <c r="B134" s="112"/>
      <c r="C134" s="182" t="s">
        <v>501</v>
      </c>
      <c r="D134" s="183"/>
      <c r="E134" s="184"/>
      <c r="F134" s="171"/>
      <c r="G134" s="172"/>
    </row>
    <row r="135" spans="2:18" x14ac:dyDescent="0.2">
      <c r="B135" s="112"/>
      <c r="C135" s="182" t="s">
        <v>437</v>
      </c>
      <c r="D135" s="183"/>
      <c r="E135" s="184"/>
      <c r="F135" s="171"/>
      <c r="G135" s="172"/>
    </row>
    <row r="136" spans="2:18" ht="25.5" x14ac:dyDescent="0.2">
      <c r="B136" s="112"/>
      <c r="C136" s="182" t="s">
        <v>438</v>
      </c>
      <c r="D136" s="183"/>
      <c r="E136" s="184"/>
      <c r="F136" s="171"/>
      <c r="G136" s="172"/>
    </row>
    <row r="137" spans="2:18" ht="25.5" x14ac:dyDescent="0.2">
      <c r="B137" s="112"/>
      <c r="C137" s="182" t="s">
        <v>502</v>
      </c>
      <c r="D137" s="183"/>
      <c r="E137" s="184"/>
      <c r="F137" s="171"/>
      <c r="G137" s="172"/>
    </row>
    <row r="138" spans="2:18" x14ac:dyDescent="0.2">
      <c r="B138" s="112"/>
      <c r="C138" s="182" t="s">
        <v>439</v>
      </c>
      <c r="D138" s="183"/>
      <c r="E138" s="184"/>
      <c r="F138" s="171"/>
      <c r="G138" s="172"/>
    </row>
    <row r="139" spans="2:18" x14ac:dyDescent="0.2">
      <c r="B139" s="112"/>
      <c r="C139" s="185" t="s">
        <v>440</v>
      </c>
      <c r="D139" s="169" t="s">
        <v>46</v>
      </c>
      <c r="E139" s="170">
        <v>1</v>
      </c>
      <c r="F139" s="171"/>
      <c r="G139" s="172">
        <f>E139*F139</f>
        <v>0</v>
      </c>
    </row>
    <row r="140" spans="2:18" ht="76.5" x14ac:dyDescent="0.2">
      <c r="B140" s="112" t="s">
        <v>441</v>
      </c>
      <c r="C140" s="168" t="s">
        <v>503</v>
      </c>
      <c r="D140" s="169" t="s">
        <v>64</v>
      </c>
      <c r="E140" s="170">
        <v>2</v>
      </c>
      <c r="F140" s="171"/>
      <c r="G140" s="172">
        <f>E140*F140</f>
        <v>0</v>
      </c>
    </row>
    <row r="141" spans="2:18" ht="63.75" x14ac:dyDescent="0.2">
      <c r="B141" s="239">
        <v>7103</v>
      </c>
      <c r="C141" s="186" t="s">
        <v>442</v>
      </c>
      <c r="D141" s="169"/>
      <c r="E141" s="170"/>
      <c r="F141" s="171"/>
      <c r="G141" s="172"/>
    </row>
    <row r="142" spans="2:18" x14ac:dyDescent="0.2">
      <c r="B142" s="112"/>
      <c r="C142" s="182" t="s">
        <v>504</v>
      </c>
      <c r="D142" s="169"/>
      <c r="E142" s="170"/>
      <c r="F142" s="171"/>
      <c r="G142" s="172"/>
    </row>
    <row r="143" spans="2:18" x14ac:dyDescent="0.2">
      <c r="B143" s="112"/>
      <c r="C143" s="182" t="s">
        <v>506</v>
      </c>
      <c r="D143" s="169"/>
      <c r="E143" s="170"/>
      <c r="F143" s="171"/>
      <c r="G143" s="172"/>
    </row>
    <row r="144" spans="2:18" x14ac:dyDescent="0.2">
      <c r="B144" s="113"/>
      <c r="C144" s="182" t="s">
        <v>505</v>
      </c>
      <c r="D144" s="169"/>
      <c r="E144" s="170"/>
      <c r="F144" s="171"/>
      <c r="G144" s="172"/>
      <c r="L144" s="187"/>
      <c r="M144" s="108"/>
      <c r="N144" s="108"/>
      <c r="P144" s="107"/>
      <c r="Q144" s="108"/>
      <c r="R144" s="108"/>
    </row>
    <row r="145" spans="2:7" x14ac:dyDescent="0.2">
      <c r="B145" s="113"/>
      <c r="C145" s="185" t="s">
        <v>443</v>
      </c>
      <c r="D145" s="169" t="s">
        <v>46</v>
      </c>
      <c r="E145" s="170">
        <v>1</v>
      </c>
      <c r="F145" s="171"/>
      <c r="G145" s="172">
        <f>E145*F145</f>
        <v>0</v>
      </c>
    </row>
    <row r="146" spans="2:7" ht="25.5" x14ac:dyDescent="0.2">
      <c r="B146" s="177">
        <v>7104</v>
      </c>
      <c r="C146" s="188" t="s">
        <v>507</v>
      </c>
      <c r="D146" s="169" t="s">
        <v>64</v>
      </c>
      <c r="E146" s="170">
        <v>2</v>
      </c>
      <c r="F146" s="171"/>
      <c r="G146" s="172">
        <f>+ROUND((E146*F146),2)</f>
        <v>0</v>
      </c>
    </row>
    <row r="147" spans="2:7" ht="25.5" x14ac:dyDescent="0.2">
      <c r="B147" s="177">
        <v>7105</v>
      </c>
      <c r="C147" s="168" t="s">
        <v>444</v>
      </c>
      <c r="D147" s="169"/>
      <c r="E147" s="170"/>
      <c r="F147" s="171"/>
      <c r="G147" s="172"/>
    </row>
    <row r="148" spans="2:7" x14ac:dyDescent="0.2">
      <c r="B148" s="113"/>
      <c r="C148" s="236" t="s">
        <v>508</v>
      </c>
      <c r="D148" s="229" t="s">
        <v>64</v>
      </c>
      <c r="E148" s="230">
        <v>1</v>
      </c>
      <c r="F148" s="237"/>
      <c r="G148" s="231">
        <f>+ROUND((E148*F148),2)</f>
        <v>0</v>
      </c>
    </row>
    <row r="149" spans="2:7" x14ac:dyDescent="0.2">
      <c r="B149" s="112"/>
      <c r="C149" s="236" t="s">
        <v>509</v>
      </c>
      <c r="D149" s="229" t="s">
        <v>64</v>
      </c>
      <c r="E149" s="230">
        <v>1</v>
      </c>
      <c r="F149" s="237"/>
      <c r="G149" s="231">
        <f>+ROUND((E149*F149),2)</f>
        <v>0</v>
      </c>
    </row>
    <row r="150" spans="2:7" ht="38.25" x14ac:dyDescent="0.2">
      <c r="B150" s="177">
        <v>7106</v>
      </c>
      <c r="C150" s="236" t="s">
        <v>510</v>
      </c>
      <c r="D150" s="229" t="s">
        <v>64</v>
      </c>
      <c r="E150" s="230">
        <v>1</v>
      </c>
      <c r="F150" s="237"/>
      <c r="G150" s="231">
        <f>+ROUND((E150*F150),2)</f>
        <v>0</v>
      </c>
    </row>
    <row r="151" spans="2:7" ht="38.25" x14ac:dyDescent="0.2">
      <c r="B151" s="177">
        <v>7107</v>
      </c>
      <c r="C151" s="236" t="s">
        <v>511</v>
      </c>
      <c r="D151" s="229" t="s">
        <v>64</v>
      </c>
      <c r="E151" s="230">
        <v>1</v>
      </c>
      <c r="F151" s="237"/>
      <c r="G151" s="231">
        <f>+E151*F151</f>
        <v>0</v>
      </c>
    </row>
    <row r="152" spans="2:7" ht="25.5" x14ac:dyDescent="0.2">
      <c r="B152" s="177">
        <v>7108</v>
      </c>
      <c r="C152" s="236" t="s">
        <v>512</v>
      </c>
      <c r="D152" s="229" t="s">
        <v>64</v>
      </c>
      <c r="E152" s="230">
        <v>1</v>
      </c>
      <c r="F152" s="237"/>
      <c r="G152" s="231">
        <f>+E152*F152</f>
        <v>0</v>
      </c>
    </row>
    <row r="153" spans="2:7" ht="25.5" x14ac:dyDescent="0.2">
      <c r="B153" s="177">
        <v>7109</v>
      </c>
      <c r="C153" s="236" t="s">
        <v>513</v>
      </c>
      <c r="D153" s="229" t="s">
        <v>64</v>
      </c>
      <c r="E153" s="230">
        <v>2</v>
      </c>
      <c r="F153" s="237"/>
      <c r="G153" s="231">
        <f>+E153*F153</f>
        <v>0</v>
      </c>
    </row>
    <row r="154" spans="2:7" ht="38.25" x14ac:dyDescent="0.2">
      <c r="B154" s="177">
        <v>7110</v>
      </c>
      <c r="C154" s="236" t="s">
        <v>514</v>
      </c>
      <c r="D154" s="229" t="s">
        <v>64</v>
      </c>
      <c r="E154" s="230">
        <v>1</v>
      </c>
      <c r="F154" s="237"/>
      <c r="G154" s="231">
        <f>+ROUND((E154*F154),2)</f>
        <v>0</v>
      </c>
    </row>
    <row r="155" spans="2:7" ht="38.25" x14ac:dyDescent="0.2">
      <c r="B155" s="112" t="s">
        <v>515</v>
      </c>
      <c r="C155" s="168" t="s">
        <v>520</v>
      </c>
      <c r="D155" s="169" t="s">
        <v>64</v>
      </c>
      <c r="E155" s="170">
        <v>1</v>
      </c>
      <c r="F155" s="171"/>
      <c r="G155" s="172">
        <f>+E155*F155</f>
        <v>0</v>
      </c>
    </row>
    <row r="156" spans="2:7" ht="89.25" x14ac:dyDescent="0.2">
      <c r="B156" s="112" t="s">
        <v>445</v>
      </c>
      <c r="C156" s="168" t="s">
        <v>517</v>
      </c>
      <c r="D156" s="169" t="s">
        <v>64</v>
      </c>
      <c r="E156" s="170">
        <v>1</v>
      </c>
      <c r="F156" s="171"/>
      <c r="G156" s="172">
        <f>+ROUND((E156*F156),2)</f>
        <v>0</v>
      </c>
    </row>
    <row r="157" spans="2:7" ht="63.75" x14ac:dyDescent="0.2">
      <c r="B157" s="112" t="s">
        <v>446</v>
      </c>
      <c r="C157" s="168" t="s">
        <v>516</v>
      </c>
      <c r="D157" s="169" t="s">
        <v>64</v>
      </c>
      <c r="E157" s="170">
        <v>1</v>
      </c>
      <c r="F157" s="171"/>
      <c r="G157" s="172">
        <f>+ROUND((E157*F157),2)</f>
        <v>0</v>
      </c>
    </row>
    <row r="158" spans="2:7" ht="89.25" x14ac:dyDescent="0.2">
      <c r="B158" s="112" t="s">
        <v>447</v>
      </c>
      <c r="C158" s="236" t="s">
        <v>518</v>
      </c>
      <c r="D158" s="229" t="s">
        <v>46</v>
      </c>
      <c r="E158" s="230">
        <v>1</v>
      </c>
      <c r="F158" s="237"/>
      <c r="G158" s="231">
        <f t="shared" ref="G158" si="8">+ROUND((E158*F158),2)</f>
        <v>0</v>
      </c>
    </row>
    <row r="159" spans="2:7" ht="38.25" x14ac:dyDescent="0.2">
      <c r="B159" s="112" t="s">
        <v>448</v>
      </c>
      <c r="C159" s="168" t="s">
        <v>126</v>
      </c>
      <c r="D159" s="169"/>
      <c r="E159" s="170"/>
      <c r="F159" s="171"/>
      <c r="G159" s="172">
        <f>+ROUND((SUM(G129:G158)*0.1),-1)</f>
        <v>0</v>
      </c>
    </row>
    <row r="160" spans="2:7" x14ac:dyDescent="0.2">
      <c r="B160" s="112"/>
      <c r="C160" s="131" t="s">
        <v>449</v>
      </c>
      <c r="D160" s="169"/>
      <c r="E160" s="170"/>
      <c r="F160" s="171"/>
      <c r="G160" s="132">
        <f>SUM(G129:G159)</f>
        <v>0</v>
      </c>
    </row>
    <row r="161" spans="2:7" x14ac:dyDescent="0.2">
      <c r="B161" s="189"/>
      <c r="C161" s="190"/>
      <c r="D161" s="240"/>
      <c r="E161" s="241"/>
      <c r="F161" s="331"/>
      <c r="G161" s="242"/>
    </row>
  </sheetData>
  <sheetProtection algorithmName="SHA-512" hashValue="vbBkh3YbcTBbW8Bxcn3F+RSSmbMH29W3llTs7O1nZCaGJalwxxMmltDbaM0AVK2yIoXap+B47pjH9Yqm+EawOw==" saltValue="aRLa7p54bG7+Fb2vSnbFkA==" spinCount="100000" sheet="1" objects="1" scenarios="1"/>
  <mergeCells count="5">
    <mergeCell ref="B13:G13"/>
    <mergeCell ref="B14:G14"/>
    <mergeCell ref="B15:G15"/>
    <mergeCell ref="B16:G16"/>
    <mergeCell ref="B17:G17"/>
  </mergeCells>
  <phoneticPr fontId="33" type="noConversion"/>
  <conditionalFormatting sqref="F74">
    <cfRule type="cellIs" dxfId="4" priority="3" operator="equal">
      <formula>0</formula>
    </cfRule>
  </conditionalFormatting>
  <conditionalFormatting sqref="F74">
    <cfRule type="cellIs" dxfId="3" priority="4" operator="equal">
      <formula>0</formula>
    </cfRule>
  </conditionalFormatting>
  <conditionalFormatting sqref="F25">
    <cfRule type="cellIs" dxfId="2" priority="5" operator="equal">
      <formula>0</formula>
    </cfRule>
  </conditionalFormatting>
  <conditionalFormatting sqref="F68:F70">
    <cfRule type="cellIs" dxfId="1" priority="6" operator="equal">
      <formula>0</formula>
    </cfRule>
  </conditionalFormatting>
  <conditionalFormatting sqref="F71:F73">
    <cfRule type="cellIs" dxfId="0" priority="7" operator="equal">
      <formula>0</formula>
    </cfRule>
  </conditionalFormatting>
  <pageMargins left="0.78740157480314965" right="0.78740157480314965" top="1.0629921259842521" bottom="1.0629921259842521" header="0.78740157480314965" footer="0.78740157480314965"/>
  <pageSetup paperSize="9" scale="88" firstPageNumber="0" fitToHeight="23" orientation="portrait" horizontalDpi="300" verticalDpi="300" r:id="rId1"/>
  <headerFooter>
    <oddFooter>&amp;L&amp;A&amp;R&amp;P/&amp;N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MJ173"/>
  <sheetViews>
    <sheetView view="pageBreakPreview" zoomScale="120" zoomScaleNormal="100" zoomScalePageLayoutView="120" workbookViewId="0">
      <selection activeCell="E12" sqref="E12:E168"/>
    </sheetView>
  </sheetViews>
  <sheetFormatPr defaultColWidth="9.33203125" defaultRowHeight="12.75" x14ac:dyDescent="0.2"/>
  <cols>
    <col min="1" max="1" width="8.5" style="191" customWidth="1"/>
    <col min="2" max="2" width="55" style="191" customWidth="1"/>
    <col min="3" max="3" width="9.33203125" style="192"/>
    <col min="4" max="4" width="9.33203125" style="191"/>
    <col min="5" max="5" width="12.6640625" style="191" customWidth="1"/>
    <col min="6" max="6" width="13.6640625" style="191" bestFit="1" customWidth="1"/>
    <col min="7" max="7" width="12.83203125" style="191" customWidth="1"/>
    <col min="8" max="1024" width="9.33203125" style="191"/>
  </cols>
  <sheetData>
    <row r="1" spans="1:7" x14ac:dyDescent="0.2">
      <c r="A1" s="193" t="s">
        <v>450</v>
      </c>
      <c r="B1" s="21" t="s">
        <v>30</v>
      </c>
      <c r="C1" s="101"/>
      <c r="D1" s="102"/>
      <c r="E1" s="19"/>
      <c r="F1" s="19"/>
    </row>
    <row r="2" spans="1:7" x14ac:dyDescent="0.2">
      <c r="A2" s="193"/>
      <c r="B2" s="21"/>
      <c r="C2" s="101"/>
      <c r="D2" s="102"/>
      <c r="E2" s="19"/>
      <c r="F2" s="19"/>
    </row>
    <row r="3" spans="1:7" x14ac:dyDescent="0.2">
      <c r="A3" s="194" t="s">
        <v>450</v>
      </c>
      <c r="B3" s="131" t="s">
        <v>451</v>
      </c>
      <c r="C3" s="195"/>
      <c r="D3" s="196"/>
      <c r="E3" s="114"/>
      <c r="F3" s="115"/>
    </row>
    <row r="4" spans="1:7" x14ac:dyDescent="0.2">
      <c r="A4" s="197" t="s">
        <v>452</v>
      </c>
      <c r="B4" s="113" t="s">
        <v>453</v>
      </c>
      <c r="C4" s="195"/>
      <c r="D4" s="196"/>
      <c r="E4" s="114"/>
      <c r="F4" s="198">
        <f>+F27</f>
        <v>0</v>
      </c>
    </row>
    <row r="5" spans="1:7" x14ac:dyDescent="0.2">
      <c r="A5" s="197" t="s">
        <v>454</v>
      </c>
      <c r="B5" s="113" t="s">
        <v>455</v>
      </c>
      <c r="C5" s="195"/>
      <c r="D5" s="196"/>
      <c r="E5" s="114"/>
      <c r="F5" s="198">
        <f>+F149</f>
        <v>0</v>
      </c>
    </row>
    <row r="6" spans="1:7" x14ac:dyDescent="0.2">
      <c r="A6" s="199"/>
      <c r="B6" s="200" t="s">
        <v>456</v>
      </c>
      <c r="C6" s="144"/>
      <c r="D6" s="201"/>
      <c r="E6" s="144"/>
      <c r="F6" s="202">
        <f>SUM(F4:F5)</f>
        <v>0</v>
      </c>
    </row>
    <row r="7" spans="1:7" x14ac:dyDescent="0.2">
      <c r="A7" s="193"/>
      <c r="B7" s="21"/>
      <c r="C7" s="101"/>
      <c r="D7" s="102"/>
      <c r="E7" s="19"/>
      <c r="F7" s="19"/>
    </row>
    <row r="8" spans="1:7" x14ac:dyDescent="0.2">
      <c r="A8" s="193"/>
      <c r="B8" s="21"/>
      <c r="C8" s="101"/>
      <c r="D8" s="102"/>
      <c r="E8" s="19"/>
      <c r="F8" s="19"/>
    </row>
    <row r="9" spans="1:7" x14ac:dyDescent="0.2">
      <c r="A9" s="193"/>
      <c r="B9" s="21"/>
      <c r="C9" s="101"/>
      <c r="D9" s="102"/>
      <c r="E9" s="19"/>
      <c r="F9" s="19"/>
    </row>
    <row r="10" spans="1:7" ht="25.5" x14ac:dyDescent="0.2">
      <c r="A10" s="123" t="s">
        <v>36</v>
      </c>
      <c r="B10" s="110" t="s">
        <v>37</v>
      </c>
      <c r="C10" s="123" t="s">
        <v>38</v>
      </c>
      <c r="D10" s="123" t="s">
        <v>39</v>
      </c>
      <c r="E10" s="110" t="s">
        <v>356</v>
      </c>
      <c r="F10" s="123" t="s">
        <v>357</v>
      </c>
      <c r="G10" s="123" t="s">
        <v>536</v>
      </c>
    </row>
    <row r="11" spans="1:7" x14ac:dyDescent="0.2">
      <c r="A11" s="203" t="s">
        <v>452</v>
      </c>
      <c r="B11" s="190" t="s">
        <v>453</v>
      </c>
      <c r="C11" s="123"/>
      <c r="D11" s="123"/>
      <c r="E11" s="110"/>
      <c r="F11" s="123"/>
      <c r="G11" s="321"/>
    </row>
    <row r="12" spans="1:7" ht="63.75" x14ac:dyDescent="0.2">
      <c r="A12" s="123" t="s">
        <v>17</v>
      </c>
      <c r="B12" s="127" t="s">
        <v>521</v>
      </c>
      <c r="C12" s="114" t="s">
        <v>171</v>
      </c>
      <c r="D12" s="114">
        <v>24</v>
      </c>
      <c r="E12" s="204"/>
      <c r="F12" s="205">
        <f>+D12*E12</f>
        <v>0</v>
      </c>
      <c r="G12" s="321"/>
    </row>
    <row r="13" spans="1:7" ht="51" x14ac:dyDescent="0.2">
      <c r="A13" s="123" t="s">
        <v>20</v>
      </c>
      <c r="B13" s="127" t="s">
        <v>522</v>
      </c>
      <c r="C13" s="114" t="s">
        <v>46</v>
      </c>
      <c r="D13" s="114">
        <v>1</v>
      </c>
      <c r="E13" s="204"/>
      <c r="F13" s="205">
        <f>+D13*E13</f>
        <v>0</v>
      </c>
      <c r="G13" s="321"/>
    </row>
    <row r="14" spans="1:7" ht="38.25" x14ac:dyDescent="0.2">
      <c r="A14" s="123" t="s">
        <v>23</v>
      </c>
      <c r="B14" s="168" t="s">
        <v>523</v>
      </c>
      <c r="C14" s="169" t="s">
        <v>171</v>
      </c>
      <c r="D14" s="169">
        <v>50</v>
      </c>
      <c r="E14" s="204"/>
      <c r="F14" s="205">
        <f>+D14*E14</f>
        <v>0</v>
      </c>
      <c r="G14" s="321"/>
    </row>
    <row r="15" spans="1:7" ht="63.75" x14ac:dyDescent="0.2">
      <c r="A15" s="123" t="s">
        <v>25</v>
      </c>
      <c r="B15" s="127" t="s">
        <v>457</v>
      </c>
      <c r="C15" s="114" t="s">
        <v>46</v>
      </c>
      <c r="D15" s="114">
        <v>1</v>
      </c>
      <c r="E15" s="204"/>
      <c r="F15" s="205">
        <f>+D15*E15</f>
        <v>0</v>
      </c>
      <c r="G15" s="321"/>
    </row>
    <row r="16" spans="1:7" ht="51" x14ac:dyDescent="0.2">
      <c r="A16" s="123" t="s">
        <v>27</v>
      </c>
      <c r="B16" s="168" t="s">
        <v>534</v>
      </c>
      <c r="C16" s="169"/>
      <c r="D16" s="169"/>
      <c r="E16" s="204"/>
      <c r="F16" s="205"/>
      <c r="G16" s="321"/>
    </row>
    <row r="17" spans="1:7" x14ac:dyDescent="0.2">
      <c r="A17" s="123"/>
      <c r="B17" s="168" t="s">
        <v>524</v>
      </c>
      <c r="C17" s="169" t="s">
        <v>64</v>
      </c>
      <c r="D17" s="169">
        <v>1</v>
      </c>
      <c r="E17" s="204"/>
      <c r="F17" s="205"/>
      <c r="G17" s="321"/>
    </row>
    <row r="18" spans="1:7" ht="25.5" x14ac:dyDescent="0.2">
      <c r="A18" s="123"/>
      <c r="B18" s="168" t="s">
        <v>525</v>
      </c>
      <c r="C18" s="169" t="s">
        <v>64</v>
      </c>
      <c r="D18" s="169">
        <v>1</v>
      </c>
      <c r="E18" s="204"/>
      <c r="F18" s="205"/>
      <c r="G18" s="321"/>
    </row>
    <row r="19" spans="1:7" ht="38.25" x14ac:dyDescent="0.2">
      <c r="A19" s="123"/>
      <c r="B19" s="168" t="s">
        <v>526</v>
      </c>
      <c r="C19" s="169" t="s">
        <v>46</v>
      </c>
      <c r="D19" s="169">
        <v>1</v>
      </c>
      <c r="E19" s="204"/>
      <c r="F19" s="205"/>
      <c r="G19" s="321"/>
    </row>
    <row r="20" spans="1:7" ht="25.5" x14ac:dyDescent="0.2">
      <c r="A20" s="123"/>
      <c r="B20" s="168" t="s">
        <v>527</v>
      </c>
      <c r="C20" s="169" t="s">
        <v>46</v>
      </c>
      <c r="D20" s="169">
        <v>3</v>
      </c>
      <c r="E20" s="204"/>
      <c r="F20" s="205"/>
      <c r="G20" s="321"/>
    </row>
    <row r="21" spans="1:7" ht="25.5" x14ac:dyDescent="0.2">
      <c r="A21" s="123"/>
      <c r="B21" s="168" t="s">
        <v>528</v>
      </c>
      <c r="C21" s="169" t="s">
        <v>46</v>
      </c>
      <c r="D21" s="169">
        <v>3</v>
      </c>
      <c r="E21" s="204"/>
      <c r="F21" s="205"/>
      <c r="G21" s="321"/>
    </row>
    <row r="22" spans="1:7" ht="25.5" x14ac:dyDescent="0.2">
      <c r="A22" s="123"/>
      <c r="B22" s="168" t="s">
        <v>529</v>
      </c>
      <c r="C22" s="169" t="s">
        <v>46</v>
      </c>
      <c r="D22" s="169">
        <v>4</v>
      </c>
      <c r="E22" s="204"/>
      <c r="F22" s="205"/>
      <c r="G22" s="321"/>
    </row>
    <row r="23" spans="1:7" x14ac:dyDescent="0.2">
      <c r="A23" s="123"/>
      <c r="B23" s="168" t="s">
        <v>530</v>
      </c>
      <c r="C23" s="169" t="s">
        <v>46</v>
      </c>
      <c r="D23" s="169">
        <v>1</v>
      </c>
      <c r="E23" s="204"/>
      <c r="F23" s="205"/>
      <c r="G23" s="321"/>
    </row>
    <row r="24" spans="1:7" ht="38.25" x14ac:dyDescent="0.2">
      <c r="A24" s="123"/>
      <c r="B24" s="168" t="s">
        <v>531</v>
      </c>
      <c r="C24" s="169" t="s">
        <v>46</v>
      </c>
      <c r="D24" s="169">
        <v>1</v>
      </c>
      <c r="E24" s="204"/>
      <c r="F24" s="205"/>
      <c r="G24" s="321"/>
    </row>
    <row r="25" spans="1:7" x14ac:dyDescent="0.2">
      <c r="A25" s="123"/>
      <c r="B25" s="168" t="s">
        <v>532</v>
      </c>
      <c r="C25" s="169"/>
      <c r="D25" s="169"/>
      <c r="E25" s="204"/>
      <c r="F25" s="205"/>
      <c r="G25" s="321"/>
    </row>
    <row r="26" spans="1:7" x14ac:dyDescent="0.2">
      <c r="A26" s="123"/>
      <c r="B26" s="168" t="s">
        <v>535</v>
      </c>
      <c r="C26" s="169" t="s">
        <v>533</v>
      </c>
      <c r="D26" s="169">
        <v>1</v>
      </c>
      <c r="E26" s="204"/>
      <c r="F26" s="205">
        <f>+D26*E26</f>
        <v>0</v>
      </c>
      <c r="G26" s="321"/>
    </row>
    <row r="27" spans="1:7" x14ac:dyDescent="0.2">
      <c r="A27" s="123"/>
      <c r="B27" s="206" t="s">
        <v>458</v>
      </c>
      <c r="C27" s="207"/>
      <c r="D27" s="208"/>
      <c r="E27" s="332"/>
      <c r="F27" s="209">
        <f>SUM(F8:F26)</f>
        <v>0</v>
      </c>
      <c r="G27" s="321"/>
    </row>
    <row r="28" spans="1:7" x14ac:dyDescent="0.2">
      <c r="A28" s="123"/>
      <c r="B28" s="206"/>
      <c r="C28" s="207"/>
      <c r="D28" s="208"/>
      <c r="E28" s="332"/>
      <c r="F28" s="209"/>
      <c r="G28" s="321"/>
    </row>
    <row r="29" spans="1:7" s="214" customFormat="1" x14ac:dyDescent="0.2">
      <c r="A29" s="210" t="s">
        <v>459</v>
      </c>
      <c r="B29" s="211"/>
      <c r="C29" s="212"/>
      <c r="D29" s="212"/>
      <c r="E29" s="333"/>
      <c r="F29" s="213"/>
      <c r="G29" s="322"/>
    </row>
    <row r="30" spans="1:7" x14ac:dyDescent="0.2">
      <c r="A30" s="210" t="s">
        <v>460</v>
      </c>
      <c r="B30" s="206"/>
      <c r="C30" s="207"/>
      <c r="D30" s="208"/>
      <c r="E30" s="332"/>
      <c r="F30" s="209"/>
      <c r="G30" s="321"/>
    </row>
    <row r="31" spans="1:7" x14ac:dyDescent="0.2">
      <c r="A31" s="123"/>
      <c r="B31" s="206"/>
      <c r="C31" s="207"/>
      <c r="D31" s="208"/>
      <c r="E31" s="332"/>
      <c r="F31" s="209"/>
      <c r="G31" s="321"/>
    </row>
    <row r="32" spans="1:7" x14ac:dyDescent="0.2">
      <c r="A32" s="123"/>
      <c r="B32" s="206"/>
      <c r="C32" s="207"/>
      <c r="D32" s="208"/>
      <c r="E32" s="332"/>
      <c r="F32" s="209"/>
      <c r="G32" s="321"/>
    </row>
    <row r="33" spans="1:7" x14ac:dyDescent="0.2">
      <c r="A33" s="123"/>
      <c r="B33" s="206"/>
      <c r="C33" s="207"/>
      <c r="D33" s="208"/>
      <c r="E33" s="332"/>
      <c r="F33" s="209"/>
      <c r="G33" s="321"/>
    </row>
    <row r="34" spans="1:7" x14ac:dyDescent="0.2">
      <c r="A34" s="194" t="s">
        <v>454</v>
      </c>
      <c r="B34" s="131" t="s">
        <v>455</v>
      </c>
      <c r="C34" s="123"/>
      <c r="D34" s="123"/>
      <c r="E34" s="334"/>
      <c r="F34" s="123"/>
      <c r="G34" s="123"/>
    </row>
    <row r="35" spans="1:7" x14ac:dyDescent="0.2">
      <c r="A35" s="123"/>
      <c r="B35" s="215"/>
      <c r="C35" s="207"/>
      <c r="D35" s="208"/>
      <c r="E35" s="204"/>
      <c r="F35" s="216"/>
      <c r="G35" s="216"/>
    </row>
    <row r="36" spans="1:7" x14ac:dyDescent="0.2">
      <c r="A36" s="243" t="s">
        <v>537</v>
      </c>
      <c r="B36" s="244" t="s">
        <v>538</v>
      </c>
      <c r="C36" s="244"/>
      <c r="D36" s="113"/>
      <c r="E36" s="330"/>
      <c r="F36" s="113"/>
      <c r="G36" s="216"/>
    </row>
    <row r="37" spans="1:7" ht="242.25" x14ac:dyDescent="0.2">
      <c r="A37" s="245"/>
      <c r="B37" s="257" t="s">
        <v>539</v>
      </c>
      <c r="C37" s="246"/>
      <c r="D37" s="178"/>
      <c r="E37" s="335"/>
      <c r="F37" s="178"/>
      <c r="G37" s="216"/>
    </row>
    <row r="38" spans="1:7" x14ac:dyDescent="0.2">
      <c r="A38" s="243"/>
      <c r="B38" s="113" t="s">
        <v>540</v>
      </c>
      <c r="C38" s="244" t="s">
        <v>46</v>
      </c>
      <c r="D38" s="113">
        <v>2</v>
      </c>
      <c r="E38" s="330"/>
      <c r="F38" s="113"/>
      <c r="G38" s="216"/>
    </row>
    <row r="39" spans="1:7" x14ac:dyDescent="0.2">
      <c r="A39" s="243"/>
      <c r="B39" s="113" t="s">
        <v>541</v>
      </c>
      <c r="C39" s="244" t="s">
        <v>46</v>
      </c>
      <c r="D39" s="113">
        <v>2</v>
      </c>
      <c r="E39" s="330"/>
      <c r="F39" s="113"/>
      <c r="G39" s="216"/>
    </row>
    <row r="40" spans="1:7" x14ac:dyDescent="0.2">
      <c r="A40" s="243"/>
      <c r="B40" s="113" t="s">
        <v>542</v>
      </c>
      <c r="C40" s="244" t="s">
        <v>46</v>
      </c>
      <c r="D40" s="113">
        <v>1</v>
      </c>
      <c r="E40" s="330"/>
      <c r="F40" s="113"/>
      <c r="G40" s="216"/>
    </row>
    <row r="41" spans="1:7" ht="25.5" x14ac:dyDescent="0.2">
      <c r="A41" s="245"/>
      <c r="B41" s="178" t="s">
        <v>543</v>
      </c>
      <c r="C41" s="246" t="s">
        <v>46</v>
      </c>
      <c r="D41" s="178">
        <v>1</v>
      </c>
      <c r="E41" s="335"/>
      <c r="F41" s="178"/>
      <c r="G41" s="216"/>
    </row>
    <row r="42" spans="1:7" x14ac:dyDescent="0.2">
      <c r="A42" s="243"/>
      <c r="B42" s="113" t="s">
        <v>544</v>
      </c>
      <c r="C42" s="244" t="s">
        <v>46</v>
      </c>
      <c r="D42" s="113">
        <v>1</v>
      </c>
      <c r="E42" s="330"/>
      <c r="F42" s="113"/>
      <c r="G42" s="216"/>
    </row>
    <row r="43" spans="1:7" x14ac:dyDescent="0.2">
      <c r="A43" s="243"/>
      <c r="B43" s="113" t="s">
        <v>545</v>
      </c>
      <c r="C43" s="244" t="s">
        <v>46</v>
      </c>
      <c r="D43" s="113">
        <v>2</v>
      </c>
      <c r="E43" s="330"/>
      <c r="F43" s="113"/>
      <c r="G43" s="216"/>
    </row>
    <row r="44" spans="1:7" x14ac:dyDescent="0.2">
      <c r="A44" s="243"/>
      <c r="B44" s="113" t="s">
        <v>546</v>
      </c>
      <c r="C44" s="244" t="s">
        <v>46</v>
      </c>
      <c r="D44" s="113">
        <v>6</v>
      </c>
      <c r="E44" s="330"/>
      <c r="F44" s="113"/>
      <c r="G44" s="216"/>
    </row>
    <row r="45" spans="1:7" x14ac:dyDescent="0.2">
      <c r="A45" s="243"/>
      <c r="B45" s="113" t="s">
        <v>547</v>
      </c>
      <c r="C45" s="244" t="s">
        <v>171</v>
      </c>
      <c r="D45" s="178">
        <v>2</v>
      </c>
      <c r="E45" s="335"/>
      <c r="F45" s="178"/>
      <c r="G45" s="216"/>
    </row>
    <row r="46" spans="1:7" x14ac:dyDescent="0.2">
      <c r="A46" s="243"/>
      <c r="B46" s="113" t="s">
        <v>548</v>
      </c>
      <c r="C46" s="244" t="s">
        <v>46</v>
      </c>
      <c r="D46" s="178">
        <v>1</v>
      </c>
      <c r="E46" s="336"/>
      <c r="F46" s="178">
        <f>(D46*E46)</f>
        <v>0</v>
      </c>
      <c r="G46" s="216"/>
    </row>
    <row r="47" spans="1:7" x14ac:dyDescent="0.2">
      <c r="A47" s="243"/>
      <c r="B47" s="113"/>
      <c r="C47" s="244"/>
      <c r="D47" s="178"/>
      <c r="E47" s="335"/>
      <c r="F47" s="178"/>
      <c r="G47" s="216"/>
    </row>
    <row r="48" spans="1:7" ht="25.5" x14ac:dyDescent="0.2">
      <c r="A48" s="243"/>
      <c r="B48" s="124" t="s">
        <v>549</v>
      </c>
      <c r="C48" s="244" t="s">
        <v>46</v>
      </c>
      <c r="D48" s="113">
        <v>1</v>
      </c>
      <c r="E48" s="335"/>
      <c r="F48" s="178">
        <f>(D48*E48)</f>
        <v>0</v>
      </c>
      <c r="G48" s="216"/>
    </row>
    <row r="49" spans="1:7" x14ac:dyDescent="0.2">
      <c r="A49" s="243"/>
      <c r="B49" s="113" t="s">
        <v>550</v>
      </c>
      <c r="C49" s="244"/>
      <c r="D49" s="113"/>
      <c r="E49" s="330"/>
      <c r="F49" s="113"/>
      <c r="G49" s="216"/>
    </row>
    <row r="50" spans="1:7" x14ac:dyDescent="0.2">
      <c r="A50" s="245"/>
      <c r="B50" s="178" t="s">
        <v>551</v>
      </c>
      <c r="C50" s="246" t="s">
        <v>46</v>
      </c>
      <c r="D50" s="178">
        <v>1</v>
      </c>
      <c r="E50" s="335"/>
      <c r="F50" s="178">
        <f>(D50*E50)</f>
        <v>0</v>
      </c>
      <c r="G50" s="216"/>
    </row>
    <row r="51" spans="1:7" x14ac:dyDescent="0.2">
      <c r="A51" s="243"/>
      <c r="B51" s="113" t="s">
        <v>552</v>
      </c>
      <c r="C51" s="244" t="s">
        <v>46</v>
      </c>
      <c r="D51" s="113">
        <v>1</v>
      </c>
      <c r="E51" s="335"/>
      <c r="F51" s="178">
        <f>(D51*E51)</f>
        <v>0</v>
      </c>
      <c r="G51" s="216"/>
    </row>
    <row r="52" spans="1:7" x14ac:dyDescent="0.2">
      <c r="A52" s="243"/>
      <c r="B52" s="113" t="s">
        <v>553</v>
      </c>
      <c r="C52" s="244" t="s">
        <v>46</v>
      </c>
      <c r="D52" s="113">
        <v>1</v>
      </c>
      <c r="E52" s="335"/>
      <c r="F52" s="178">
        <f>(D52*E52)</f>
        <v>0</v>
      </c>
      <c r="G52" s="216"/>
    </row>
    <row r="53" spans="1:7" ht="63.75" x14ac:dyDescent="0.2">
      <c r="A53" s="245"/>
      <c r="B53" s="178" t="s">
        <v>653</v>
      </c>
      <c r="C53" s="246" t="s">
        <v>46</v>
      </c>
      <c r="D53" s="178">
        <v>2</v>
      </c>
      <c r="E53" s="335"/>
      <c r="F53" s="178">
        <f>(D53*E53)</f>
        <v>0</v>
      </c>
      <c r="G53" s="216"/>
    </row>
    <row r="54" spans="1:7" x14ac:dyDescent="0.2">
      <c r="A54" s="243"/>
      <c r="B54" s="113" t="s">
        <v>554</v>
      </c>
      <c r="C54" s="244"/>
      <c r="D54" s="113"/>
      <c r="E54" s="330"/>
      <c r="F54" s="113"/>
      <c r="G54" s="216"/>
    </row>
    <row r="55" spans="1:7" ht="51" x14ac:dyDescent="0.2">
      <c r="A55" s="245"/>
      <c r="B55" s="178" t="s">
        <v>555</v>
      </c>
      <c r="C55" s="246" t="s">
        <v>46</v>
      </c>
      <c r="D55" s="178">
        <v>2</v>
      </c>
      <c r="E55" s="335"/>
      <c r="F55" s="178">
        <f>(D55*E55)</f>
        <v>0</v>
      </c>
      <c r="G55" s="216"/>
    </row>
    <row r="56" spans="1:7" x14ac:dyDescent="0.2">
      <c r="A56" s="243"/>
      <c r="B56" s="124" t="s">
        <v>556</v>
      </c>
      <c r="C56" s="244"/>
      <c r="D56" s="113"/>
      <c r="E56" s="330"/>
      <c r="F56" s="113"/>
      <c r="G56" s="216"/>
    </row>
    <row r="57" spans="1:7" x14ac:dyDescent="0.2">
      <c r="A57" s="243"/>
      <c r="B57" s="124" t="s">
        <v>557</v>
      </c>
      <c r="C57" s="244" t="s">
        <v>64</v>
      </c>
      <c r="D57" s="178">
        <v>30</v>
      </c>
      <c r="E57" s="335"/>
      <c r="F57" s="178">
        <f t="shared" ref="F57:F62" si="0">(D57*E57)</f>
        <v>0</v>
      </c>
      <c r="G57" s="216"/>
    </row>
    <row r="58" spans="1:7" x14ac:dyDescent="0.2">
      <c r="A58" s="243"/>
      <c r="B58" s="124" t="s">
        <v>558</v>
      </c>
      <c r="C58" s="244" t="s">
        <v>64</v>
      </c>
      <c r="D58" s="178">
        <v>4</v>
      </c>
      <c r="E58" s="335"/>
      <c r="F58" s="178">
        <f t="shared" si="0"/>
        <v>0</v>
      </c>
      <c r="G58" s="216"/>
    </row>
    <row r="59" spans="1:7" ht="25.5" x14ac:dyDescent="0.2">
      <c r="A59" s="243"/>
      <c r="B59" s="124" t="s">
        <v>559</v>
      </c>
      <c r="C59" s="113" t="s">
        <v>46</v>
      </c>
      <c r="D59" s="113">
        <v>5</v>
      </c>
      <c r="E59" s="335"/>
      <c r="F59" s="178">
        <f t="shared" si="0"/>
        <v>0</v>
      </c>
      <c r="G59" s="216"/>
    </row>
    <row r="60" spans="1:7" x14ac:dyDescent="0.2">
      <c r="A60" s="243"/>
      <c r="B60" s="124" t="s">
        <v>560</v>
      </c>
      <c r="C60" s="244" t="s">
        <v>171</v>
      </c>
      <c r="D60" s="178">
        <v>2</v>
      </c>
      <c r="E60" s="335"/>
      <c r="F60" s="178">
        <f t="shared" si="0"/>
        <v>0</v>
      </c>
      <c r="G60" s="216"/>
    </row>
    <row r="61" spans="1:7" x14ac:dyDescent="0.2">
      <c r="A61" s="247"/>
      <c r="B61" s="124" t="s">
        <v>561</v>
      </c>
      <c r="C61" s="244" t="s">
        <v>171</v>
      </c>
      <c r="D61" s="178">
        <v>1</v>
      </c>
      <c r="E61" s="335"/>
      <c r="F61" s="178">
        <f t="shared" si="0"/>
        <v>0</v>
      </c>
      <c r="G61" s="216"/>
    </row>
    <row r="62" spans="1:7" x14ac:dyDescent="0.2">
      <c r="A62" s="243"/>
      <c r="B62" s="124" t="s">
        <v>562</v>
      </c>
      <c r="C62" s="244" t="s">
        <v>171</v>
      </c>
      <c r="D62" s="178">
        <v>1</v>
      </c>
      <c r="E62" s="335"/>
      <c r="F62" s="178">
        <f t="shared" si="0"/>
        <v>0</v>
      </c>
      <c r="G62" s="216"/>
    </row>
    <row r="63" spans="1:7" ht="25.5" x14ac:dyDescent="0.2">
      <c r="A63" s="243"/>
      <c r="B63" s="248" t="s">
        <v>563</v>
      </c>
      <c r="C63" s="244"/>
      <c r="D63" s="178"/>
      <c r="E63" s="335"/>
      <c r="F63" s="178"/>
      <c r="G63" s="216"/>
    </row>
    <row r="64" spans="1:7" x14ac:dyDescent="0.2">
      <c r="A64" s="243"/>
      <c r="B64" s="124" t="s">
        <v>564</v>
      </c>
      <c r="C64" s="244"/>
      <c r="D64" s="178"/>
      <c r="E64" s="330"/>
      <c r="F64" s="113"/>
      <c r="G64" s="216"/>
    </row>
    <row r="65" spans="1:7" x14ac:dyDescent="0.2">
      <c r="A65" s="247"/>
      <c r="B65" s="124" t="s">
        <v>565</v>
      </c>
      <c r="C65" s="244" t="s">
        <v>64</v>
      </c>
      <c r="D65" s="178">
        <v>1</v>
      </c>
      <c r="E65" s="335"/>
      <c r="F65" s="178">
        <f>(D65*E65)</f>
        <v>0</v>
      </c>
      <c r="G65" s="216"/>
    </row>
    <row r="66" spans="1:7" x14ac:dyDescent="0.2">
      <c r="A66" s="243"/>
      <c r="B66" s="124" t="s">
        <v>566</v>
      </c>
      <c r="C66" s="244" t="s">
        <v>64</v>
      </c>
      <c r="D66" s="178">
        <v>1</v>
      </c>
      <c r="E66" s="335"/>
      <c r="F66" s="178">
        <f>(D66*E66)</f>
        <v>0</v>
      </c>
      <c r="G66" s="216"/>
    </row>
    <row r="67" spans="1:7" x14ac:dyDescent="0.2">
      <c r="A67" s="243"/>
      <c r="B67" s="124" t="s">
        <v>567</v>
      </c>
      <c r="C67" s="113" t="s">
        <v>64</v>
      </c>
      <c r="D67" s="113">
        <v>1</v>
      </c>
      <c r="E67" s="335"/>
      <c r="F67" s="178">
        <f>(D67*E67)</f>
        <v>0</v>
      </c>
      <c r="G67" s="216"/>
    </row>
    <row r="68" spans="1:7" x14ac:dyDescent="0.2">
      <c r="A68" s="243"/>
      <c r="B68" s="124" t="s">
        <v>568</v>
      </c>
      <c r="C68" s="244"/>
      <c r="D68" s="113"/>
      <c r="E68" s="330"/>
      <c r="F68" s="113"/>
      <c r="G68" s="216"/>
    </row>
    <row r="69" spans="1:7" x14ac:dyDescent="0.2">
      <c r="A69" s="243"/>
      <c r="B69" s="124" t="s">
        <v>569</v>
      </c>
      <c r="C69" s="244" t="s">
        <v>64</v>
      </c>
      <c r="D69" s="113">
        <v>2</v>
      </c>
      <c r="E69" s="335"/>
      <c r="F69" s="178">
        <f>(D69*E69)</f>
        <v>0</v>
      </c>
      <c r="G69" s="216"/>
    </row>
    <row r="70" spans="1:7" x14ac:dyDescent="0.2">
      <c r="A70" s="243"/>
      <c r="B70" s="124" t="s">
        <v>570</v>
      </c>
      <c r="C70" s="244"/>
      <c r="D70" s="113"/>
      <c r="E70" s="330"/>
      <c r="F70" s="113"/>
      <c r="G70" s="216"/>
    </row>
    <row r="71" spans="1:7" x14ac:dyDescent="0.2">
      <c r="A71" s="243"/>
      <c r="B71" s="124" t="s">
        <v>571</v>
      </c>
      <c r="C71" s="244"/>
      <c r="D71" s="113"/>
      <c r="E71" s="330"/>
      <c r="F71" s="113"/>
      <c r="G71" s="216"/>
    </row>
    <row r="72" spans="1:7" x14ac:dyDescent="0.2">
      <c r="A72" s="243"/>
      <c r="B72" s="124" t="s">
        <v>572</v>
      </c>
      <c r="C72" s="244" t="s">
        <v>64</v>
      </c>
      <c r="D72" s="113">
        <v>2</v>
      </c>
      <c r="E72" s="335"/>
      <c r="F72" s="178">
        <f>(D72*E72)</f>
        <v>0</v>
      </c>
      <c r="G72" s="216"/>
    </row>
    <row r="73" spans="1:7" x14ac:dyDescent="0.2">
      <c r="A73" s="243"/>
      <c r="B73" s="124" t="s">
        <v>573</v>
      </c>
      <c r="C73" s="244" t="s">
        <v>64</v>
      </c>
      <c r="D73" s="113">
        <v>2</v>
      </c>
      <c r="E73" s="335"/>
      <c r="F73" s="178">
        <f>(D73*E73)</f>
        <v>0</v>
      </c>
      <c r="G73" s="216"/>
    </row>
    <row r="74" spans="1:7" x14ac:dyDescent="0.2">
      <c r="A74" s="243"/>
      <c r="B74" s="124" t="s">
        <v>574</v>
      </c>
      <c r="C74" s="244" t="s">
        <v>64</v>
      </c>
      <c r="D74" s="113">
        <v>2</v>
      </c>
      <c r="E74" s="335"/>
      <c r="F74" s="178">
        <f>(D74*E74)</f>
        <v>0</v>
      </c>
      <c r="G74" s="216"/>
    </row>
    <row r="75" spans="1:7" ht="51" x14ac:dyDescent="0.2">
      <c r="A75" s="243"/>
      <c r="B75" s="124" t="s">
        <v>575</v>
      </c>
      <c r="C75" s="244" t="s">
        <v>46</v>
      </c>
      <c r="D75" s="113">
        <v>1</v>
      </c>
      <c r="E75" s="335"/>
      <c r="F75" s="178">
        <f>(D75*E75)</f>
        <v>0</v>
      </c>
      <c r="G75" s="216"/>
    </row>
    <row r="76" spans="1:7" ht="25.5" x14ac:dyDescent="0.2">
      <c r="A76" s="243"/>
      <c r="B76" s="124" t="s">
        <v>576</v>
      </c>
      <c r="C76" s="113" t="s">
        <v>46</v>
      </c>
      <c r="D76" s="113">
        <v>2</v>
      </c>
      <c r="E76" s="335"/>
      <c r="F76" s="178">
        <f>(D76*E76)</f>
        <v>0</v>
      </c>
      <c r="G76" s="216"/>
    </row>
    <row r="77" spans="1:7" x14ac:dyDescent="0.2">
      <c r="A77" s="243"/>
      <c r="B77" s="124"/>
      <c r="C77" s="113"/>
      <c r="D77" s="113"/>
      <c r="E77" s="335"/>
      <c r="F77" s="178"/>
      <c r="G77" s="216"/>
    </row>
    <row r="78" spans="1:7" x14ac:dyDescent="0.2">
      <c r="A78" s="243"/>
      <c r="B78" s="124" t="s">
        <v>577</v>
      </c>
      <c r="C78" s="113"/>
      <c r="D78" s="113"/>
      <c r="E78" s="335"/>
      <c r="F78" s="258">
        <f>SUM(F46:F77)</f>
        <v>0</v>
      </c>
      <c r="G78" s="216"/>
    </row>
    <row r="79" spans="1:7" x14ac:dyDescent="0.2">
      <c r="A79" s="243"/>
      <c r="B79" s="124"/>
      <c r="C79" s="113"/>
      <c r="D79" s="113"/>
      <c r="E79" s="335"/>
      <c r="F79" s="178"/>
      <c r="G79" s="216"/>
    </row>
    <row r="80" spans="1:7" x14ac:dyDescent="0.2">
      <c r="A80" s="243" t="s">
        <v>578</v>
      </c>
      <c r="B80" s="113" t="s">
        <v>579</v>
      </c>
      <c r="C80" s="244"/>
      <c r="D80" s="113"/>
      <c r="E80" s="330"/>
      <c r="F80" s="113"/>
      <c r="G80" s="216"/>
    </row>
    <row r="81" spans="1:7" x14ac:dyDescent="0.2">
      <c r="A81" s="243"/>
      <c r="B81" s="113" t="s">
        <v>580</v>
      </c>
      <c r="C81" s="244"/>
      <c r="D81" s="113"/>
      <c r="E81" s="330"/>
      <c r="F81" s="113"/>
      <c r="G81" s="216"/>
    </row>
    <row r="82" spans="1:7" ht="38.25" x14ac:dyDescent="0.2">
      <c r="A82" s="243"/>
      <c r="B82" s="124" t="s">
        <v>581</v>
      </c>
      <c r="C82" s="244" t="s">
        <v>46</v>
      </c>
      <c r="D82" s="113">
        <v>1</v>
      </c>
      <c r="E82" s="335"/>
      <c r="F82" s="178">
        <f>(D82*E82)</f>
        <v>0</v>
      </c>
      <c r="G82" s="216"/>
    </row>
    <row r="83" spans="1:7" ht="38.25" x14ac:dyDescent="0.2">
      <c r="A83" s="243"/>
      <c r="B83" s="124" t="s">
        <v>582</v>
      </c>
      <c r="C83" s="244" t="s">
        <v>46</v>
      </c>
      <c r="D83" s="113">
        <v>1</v>
      </c>
      <c r="E83" s="335"/>
      <c r="F83" s="178">
        <f>(D83*E83)</f>
        <v>0</v>
      </c>
      <c r="G83" s="216"/>
    </row>
    <row r="84" spans="1:7" ht="38.25" x14ac:dyDescent="0.2">
      <c r="A84" s="249"/>
      <c r="B84" s="124" t="s">
        <v>583</v>
      </c>
      <c r="C84" s="244" t="s">
        <v>46</v>
      </c>
      <c r="D84" s="113">
        <v>1</v>
      </c>
      <c r="E84" s="335"/>
      <c r="F84" s="178">
        <f>(D84*E84)</f>
        <v>0</v>
      </c>
      <c r="G84" s="216"/>
    </row>
    <row r="85" spans="1:7" ht="38.25" x14ac:dyDescent="0.2">
      <c r="A85" s="243"/>
      <c r="B85" s="124" t="s">
        <v>584</v>
      </c>
      <c r="C85" s="113"/>
      <c r="D85" s="113">
        <v>1</v>
      </c>
      <c r="E85" s="330"/>
      <c r="F85" s="172">
        <f>(D85*E85)</f>
        <v>0</v>
      </c>
      <c r="G85" s="216"/>
    </row>
    <row r="86" spans="1:7" x14ac:dyDescent="0.2">
      <c r="A86" s="243"/>
      <c r="B86" s="124" t="s">
        <v>585</v>
      </c>
      <c r="C86" s="113" t="s">
        <v>46</v>
      </c>
      <c r="D86" s="113">
        <v>1</v>
      </c>
      <c r="E86" s="335"/>
      <c r="F86" s="178">
        <f t="shared" ref="F86:F93" si="1">(D86*E86)</f>
        <v>0</v>
      </c>
      <c r="G86" s="216"/>
    </row>
    <row r="87" spans="1:7" x14ac:dyDescent="0.2">
      <c r="A87" s="243"/>
      <c r="B87" s="124" t="s">
        <v>586</v>
      </c>
      <c r="C87" s="113" t="s">
        <v>46</v>
      </c>
      <c r="D87" s="113">
        <v>1</v>
      </c>
      <c r="E87" s="335"/>
      <c r="F87" s="178">
        <f>(D87*E87)</f>
        <v>0</v>
      </c>
      <c r="G87" s="216"/>
    </row>
    <row r="88" spans="1:7" x14ac:dyDescent="0.2">
      <c r="A88" s="243"/>
      <c r="B88" s="124" t="s">
        <v>587</v>
      </c>
      <c r="C88" s="113" t="s">
        <v>46</v>
      </c>
      <c r="D88" s="113">
        <v>8</v>
      </c>
      <c r="E88" s="335"/>
      <c r="F88" s="178">
        <f t="shared" si="1"/>
        <v>0</v>
      </c>
      <c r="G88" s="216"/>
    </row>
    <row r="89" spans="1:7" x14ac:dyDescent="0.2">
      <c r="A89" s="243"/>
      <c r="B89" s="124" t="s">
        <v>588</v>
      </c>
      <c r="C89" s="113" t="s">
        <v>46</v>
      </c>
      <c r="D89" s="113">
        <v>2</v>
      </c>
      <c r="E89" s="335"/>
      <c r="F89" s="178">
        <f t="shared" si="1"/>
        <v>0</v>
      </c>
      <c r="G89" s="216"/>
    </row>
    <row r="90" spans="1:7" x14ac:dyDescent="0.2">
      <c r="A90" s="243"/>
      <c r="B90" s="124" t="s">
        <v>589</v>
      </c>
      <c r="C90" s="113" t="s">
        <v>46</v>
      </c>
      <c r="D90" s="113">
        <v>20</v>
      </c>
      <c r="E90" s="335"/>
      <c r="F90" s="178">
        <f t="shared" si="1"/>
        <v>0</v>
      </c>
      <c r="G90" s="216"/>
    </row>
    <row r="91" spans="1:7" x14ac:dyDescent="0.2">
      <c r="A91" s="243"/>
      <c r="B91" s="124" t="s">
        <v>590</v>
      </c>
      <c r="C91" s="113" t="s">
        <v>171</v>
      </c>
      <c r="D91" s="113">
        <v>6</v>
      </c>
      <c r="E91" s="335"/>
      <c r="F91" s="178">
        <f t="shared" si="1"/>
        <v>0</v>
      </c>
      <c r="G91" s="216"/>
    </row>
    <row r="92" spans="1:7" x14ac:dyDescent="0.2">
      <c r="A92" s="243"/>
      <c r="B92" s="124" t="s">
        <v>591</v>
      </c>
      <c r="C92" s="113" t="s">
        <v>171</v>
      </c>
      <c r="D92" s="113">
        <v>3</v>
      </c>
      <c r="E92" s="335"/>
      <c r="F92" s="178">
        <f t="shared" si="1"/>
        <v>0</v>
      </c>
      <c r="G92" s="216"/>
    </row>
    <row r="93" spans="1:7" x14ac:dyDescent="0.2">
      <c r="A93" s="243"/>
      <c r="B93" s="124" t="s">
        <v>592</v>
      </c>
      <c r="C93" s="113" t="s">
        <v>46</v>
      </c>
      <c r="D93" s="113">
        <v>1</v>
      </c>
      <c r="E93" s="335"/>
      <c r="F93" s="178">
        <f t="shared" si="1"/>
        <v>0</v>
      </c>
      <c r="G93" s="216"/>
    </row>
    <row r="94" spans="1:7" x14ac:dyDescent="0.2">
      <c r="A94" s="243"/>
      <c r="B94" s="124"/>
      <c r="C94" s="113"/>
      <c r="D94" s="113"/>
      <c r="E94" s="335"/>
      <c r="F94" s="178"/>
      <c r="G94" s="216"/>
    </row>
    <row r="95" spans="1:7" x14ac:dyDescent="0.2">
      <c r="A95" s="243"/>
      <c r="B95" s="246" t="s">
        <v>593</v>
      </c>
      <c r="C95" s="244"/>
      <c r="D95" s="113"/>
      <c r="E95" s="335"/>
      <c r="F95" s="258">
        <f>SUM(F82:F94)</f>
        <v>0</v>
      </c>
      <c r="G95" s="216"/>
    </row>
    <row r="96" spans="1:7" x14ac:dyDescent="0.2">
      <c r="A96" s="243"/>
      <c r="B96" s="113"/>
      <c r="C96" s="113"/>
      <c r="D96" s="113"/>
      <c r="E96" s="330"/>
      <c r="F96" s="113"/>
      <c r="G96" s="216"/>
    </row>
    <row r="97" spans="1:7" x14ac:dyDescent="0.2">
      <c r="A97" s="243" t="s">
        <v>594</v>
      </c>
      <c r="B97" s="131" t="s">
        <v>595</v>
      </c>
      <c r="C97" s="113"/>
      <c r="D97" s="113"/>
      <c r="E97" s="330"/>
      <c r="F97" s="113"/>
      <c r="G97" s="216"/>
    </row>
    <row r="98" spans="1:7" ht="38.25" x14ac:dyDescent="0.2">
      <c r="A98" s="243"/>
      <c r="B98" s="124" t="s">
        <v>596</v>
      </c>
      <c r="C98" s="113" t="s">
        <v>46</v>
      </c>
      <c r="D98" s="113">
        <v>1</v>
      </c>
      <c r="E98" s="335"/>
      <c r="F98" s="178">
        <f>(D98*E98)</f>
        <v>0</v>
      </c>
      <c r="G98" s="216"/>
    </row>
    <row r="99" spans="1:7" ht="25.5" x14ac:dyDescent="0.2">
      <c r="A99" s="243"/>
      <c r="B99" s="124" t="s">
        <v>597</v>
      </c>
      <c r="C99" s="113" t="s">
        <v>46</v>
      </c>
      <c r="D99" s="113">
        <v>2</v>
      </c>
      <c r="E99" s="335"/>
      <c r="F99" s="178">
        <f>(D99*E99)</f>
        <v>0</v>
      </c>
      <c r="G99" s="216"/>
    </row>
    <row r="100" spans="1:7" ht="25.5" x14ac:dyDescent="0.2">
      <c r="A100" s="245"/>
      <c r="B100" s="178" t="s">
        <v>598</v>
      </c>
      <c r="C100" s="178" t="s">
        <v>46</v>
      </c>
      <c r="D100" s="178">
        <v>1</v>
      </c>
      <c r="E100" s="335"/>
      <c r="F100" s="178">
        <f>(D100*E100)</f>
        <v>0</v>
      </c>
      <c r="G100" s="216"/>
    </row>
    <row r="101" spans="1:7" ht="25.5" x14ac:dyDescent="0.2">
      <c r="A101" s="245"/>
      <c r="B101" s="178" t="s">
        <v>599</v>
      </c>
      <c r="C101" s="178" t="s">
        <v>46</v>
      </c>
      <c r="D101" s="178">
        <v>1</v>
      </c>
      <c r="E101" s="335"/>
      <c r="F101" s="178">
        <f>(D101*E101)</f>
        <v>0</v>
      </c>
      <c r="G101" s="216"/>
    </row>
    <row r="102" spans="1:7" x14ac:dyDescent="0.2">
      <c r="A102" s="245"/>
      <c r="B102" s="178"/>
      <c r="C102" s="178"/>
      <c r="D102" s="178"/>
      <c r="E102" s="335"/>
      <c r="F102" s="178"/>
      <c r="G102" s="216"/>
    </row>
    <row r="103" spans="1:7" x14ac:dyDescent="0.2">
      <c r="A103" s="245"/>
      <c r="B103" s="178" t="s">
        <v>600</v>
      </c>
      <c r="C103" s="178"/>
      <c r="D103" s="178"/>
      <c r="E103" s="335"/>
      <c r="F103" s="259">
        <f>SUM(F98:F101)</f>
        <v>0</v>
      </c>
      <c r="G103" s="216"/>
    </row>
    <row r="104" spans="1:7" x14ac:dyDescent="0.2">
      <c r="A104" s="243"/>
      <c r="B104" s="113"/>
      <c r="C104" s="113"/>
      <c r="D104" s="113"/>
      <c r="E104" s="330"/>
      <c r="F104" s="113"/>
      <c r="G104" s="216"/>
    </row>
    <row r="105" spans="1:7" x14ac:dyDescent="0.2">
      <c r="A105" s="243" t="s">
        <v>601</v>
      </c>
      <c r="B105" s="131" t="s">
        <v>602</v>
      </c>
      <c r="C105" s="113"/>
      <c r="D105" s="113"/>
      <c r="E105" s="330"/>
      <c r="F105" s="113"/>
      <c r="G105" s="216"/>
    </row>
    <row r="106" spans="1:7" x14ac:dyDescent="0.2">
      <c r="A106" s="243"/>
      <c r="B106" s="124" t="s">
        <v>603</v>
      </c>
      <c r="C106" s="113"/>
      <c r="D106" s="113"/>
      <c r="E106" s="330"/>
      <c r="F106" s="113"/>
      <c r="G106" s="216"/>
    </row>
    <row r="107" spans="1:7" ht="178.5" x14ac:dyDescent="0.2">
      <c r="A107" s="243"/>
      <c r="B107" s="124" t="s">
        <v>604</v>
      </c>
      <c r="C107" s="113" t="s">
        <v>171</v>
      </c>
      <c r="D107" s="178">
        <v>8</v>
      </c>
      <c r="E107" s="335"/>
      <c r="F107" s="178">
        <f>(D107*E107)</f>
        <v>0</v>
      </c>
      <c r="G107" s="216"/>
    </row>
    <row r="108" spans="1:7" ht="51" x14ac:dyDescent="0.2">
      <c r="A108" s="243"/>
      <c r="B108" s="124" t="s">
        <v>605</v>
      </c>
      <c r="C108" s="113" t="s">
        <v>171</v>
      </c>
      <c r="D108" s="113">
        <v>30</v>
      </c>
      <c r="E108" s="335"/>
      <c r="F108" s="178">
        <f>(D108*E108)</f>
        <v>0</v>
      </c>
      <c r="G108" s="216"/>
    </row>
    <row r="109" spans="1:7" x14ac:dyDescent="0.2">
      <c r="A109" s="243"/>
      <c r="B109" s="124" t="s">
        <v>606</v>
      </c>
      <c r="C109" s="113" t="s">
        <v>171</v>
      </c>
      <c r="D109" s="113">
        <v>8</v>
      </c>
      <c r="E109" s="335"/>
      <c r="F109" s="178">
        <f>(D109*E109)</f>
        <v>0</v>
      </c>
      <c r="G109" s="216"/>
    </row>
    <row r="110" spans="1:7" ht="25.5" x14ac:dyDescent="0.2">
      <c r="A110" s="243"/>
      <c r="B110" s="124" t="s">
        <v>607</v>
      </c>
      <c r="C110" s="113" t="s">
        <v>171</v>
      </c>
      <c r="D110" s="113">
        <v>16</v>
      </c>
      <c r="E110" s="335"/>
      <c r="F110" s="178">
        <f>(D110*E110)</f>
        <v>0</v>
      </c>
      <c r="G110" s="216"/>
    </row>
    <row r="111" spans="1:7" ht="38.25" x14ac:dyDescent="0.2">
      <c r="A111" s="243"/>
      <c r="B111" s="124" t="s">
        <v>608</v>
      </c>
      <c r="C111" s="113" t="s">
        <v>171</v>
      </c>
      <c r="D111" s="113">
        <v>16</v>
      </c>
      <c r="E111" s="335"/>
      <c r="F111" s="178">
        <f>(D111*E111)</f>
        <v>0</v>
      </c>
      <c r="G111" s="216"/>
    </row>
    <row r="112" spans="1:7" x14ac:dyDescent="0.2">
      <c r="A112" s="113"/>
      <c r="B112" s="124" t="s">
        <v>609</v>
      </c>
      <c r="C112" s="113"/>
      <c r="D112" s="113"/>
      <c r="E112" s="335"/>
      <c r="F112" s="259">
        <f>SUM(F108:F111)</f>
        <v>0</v>
      </c>
      <c r="G112" s="216"/>
    </row>
    <row r="113" spans="1:7" x14ac:dyDescent="0.2">
      <c r="A113" s="243"/>
      <c r="B113" s="113"/>
      <c r="C113" s="113"/>
      <c r="D113" s="113"/>
      <c r="E113" s="330"/>
      <c r="F113" s="113"/>
      <c r="G113" s="216"/>
    </row>
    <row r="114" spans="1:7" x14ac:dyDescent="0.2">
      <c r="A114" s="243" t="s">
        <v>610</v>
      </c>
      <c r="B114" s="131" t="s">
        <v>611</v>
      </c>
      <c r="C114" s="113"/>
      <c r="D114" s="113"/>
      <c r="E114" s="330"/>
      <c r="F114" s="113"/>
      <c r="G114" s="216"/>
    </row>
    <row r="115" spans="1:7" x14ac:dyDescent="0.2">
      <c r="A115" s="243"/>
      <c r="B115" s="113"/>
      <c r="C115" s="113"/>
      <c r="D115" s="113"/>
      <c r="E115" s="330"/>
      <c r="F115" s="113"/>
      <c r="G115" s="216"/>
    </row>
    <row r="116" spans="1:7" x14ac:dyDescent="0.2">
      <c r="A116" s="243"/>
      <c r="B116" s="124" t="s">
        <v>612</v>
      </c>
      <c r="C116" s="113" t="s">
        <v>171</v>
      </c>
      <c r="D116" s="113">
        <v>10</v>
      </c>
      <c r="E116" s="335"/>
      <c r="F116" s="178">
        <f>(D116*E116)</f>
        <v>0</v>
      </c>
      <c r="G116" s="216"/>
    </row>
    <row r="117" spans="1:7" x14ac:dyDescent="0.2">
      <c r="A117" s="243"/>
      <c r="B117" s="124" t="s">
        <v>613</v>
      </c>
      <c r="C117" s="113" t="s">
        <v>64</v>
      </c>
      <c r="D117" s="113">
        <v>4</v>
      </c>
      <c r="E117" s="335"/>
      <c r="F117" s="178">
        <f t="shared" ref="F117:F125" si="2">(D117*E117)</f>
        <v>0</v>
      </c>
      <c r="G117" s="216"/>
    </row>
    <row r="118" spans="1:7" x14ac:dyDescent="0.2">
      <c r="A118" s="243"/>
      <c r="B118" s="124" t="s">
        <v>614</v>
      </c>
      <c r="C118" s="113" t="s">
        <v>171</v>
      </c>
      <c r="D118" s="113">
        <v>8</v>
      </c>
      <c r="E118" s="335"/>
      <c r="F118" s="178">
        <f t="shared" si="2"/>
        <v>0</v>
      </c>
      <c r="G118" s="216"/>
    </row>
    <row r="119" spans="1:7" x14ac:dyDescent="0.2">
      <c r="A119" s="243"/>
      <c r="B119" s="124" t="s">
        <v>615</v>
      </c>
      <c r="C119" s="113" t="s">
        <v>171</v>
      </c>
      <c r="D119" s="113">
        <v>9</v>
      </c>
      <c r="E119" s="335"/>
      <c r="F119" s="178">
        <f t="shared" si="2"/>
        <v>0</v>
      </c>
      <c r="G119" s="216"/>
    </row>
    <row r="120" spans="1:7" x14ac:dyDescent="0.2">
      <c r="A120" s="247"/>
      <c r="B120" s="124" t="s">
        <v>616</v>
      </c>
      <c r="C120" s="113" t="s">
        <v>171</v>
      </c>
      <c r="D120" s="113">
        <v>3</v>
      </c>
      <c r="E120" s="335"/>
      <c r="F120" s="178">
        <f>(D120*E120)</f>
        <v>0</v>
      </c>
      <c r="G120" s="216"/>
    </row>
    <row r="121" spans="1:7" x14ac:dyDescent="0.2">
      <c r="A121" s="247"/>
      <c r="B121" s="124" t="s">
        <v>617</v>
      </c>
      <c r="C121" s="113" t="s">
        <v>171</v>
      </c>
      <c r="D121" s="113">
        <v>3</v>
      </c>
      <c r="E121" s="335"/>
      <c r="F121" s="178">
        <f>(D121*E121)</f>
        <v>0</v>
      </c>
      <c r="G121" s="216"/>
    </row>
    <row r="122" spans="1:7" ht="25.5" x14ac:dyDescent="0.2">
      <c r="A122" s="243"/>
      <c r="B122" s="124" t="s">
        <v>618</v>
      </c>
      <c r="C122" s="113" t="s">
        <v>171</v>
      </c>
      <c r="D122" s="113">
        <v>10</v>
      </c>
      <c r="E122" s="335"/>
      <c r="F122" s="178">
        <f t="shared" si="2"/>
        <v>0</v>
      </c>
      <c r="G122" s="216"/>
    </row>
    <row r="123" spans="1:7" x14ac:dyDescent="0.2">
      <c r="A123" s="243"/>
      <c r="B123" s="124" t="s">
        <v>619</v>
      </c>
      <c r="C123" s="113" t="s">
        <v>64</v>
      </c>
      <c r="D123" s="113">
        <v>1</v>
      </c>
      <c r="E123" s="335"/>
      <c r="F123" s="178">
        <f t="shared" si="2"/>
        <v>0</v>
      </c>
      <c r="G123" s="216"/>
    </row>
    <row r="124" spans="1:7" x14ac:dyDescent="0.2">
      <c r="A124" s="243"/>
      <c r="B124" s="124" t="s">
        <v>620</v>
      </c>
      <c r="C124" s="113" t="s">
        <v>64</v>
      </c>
      <c r="D124" s="113">
        <v>3</v>
      </c>
      <c r="E124" s="335"/>
      <c r="F124" s="178">
        <f t="shared" si="2"/>
        <v>0</v>
      </c>
      <c r="G124" s="216"/>
    </row>
    <row r="125" spans="1:7" x14ac:dyDescent="0.2">
      <c r="A125" s="243"/>
      <c r="B125" s="124" t="s">
        <v>621</v>
      </c>
      <c r="C125" s="113" t="s">
        <v>64</v>
      </c>
      <c r="D125" s="113">
        <v>1</v>
      </c>
      <c r="E125" s="335"/>
      <c r="F125" s="178">
        <f t="shared" si="2"/>
        <v>0</v>
      </c>
      <c r="G125" s="216"/>
    </row>
    <row r="126" spans="1:7" x14ac:dyDescent="0.2">
      <c r="A126" s="243"/>
      <c r="B126" s="124"/>
      <c r="C126" s="113"/>
      <c r="D126" s="113"/>
      <c r="E126" s="335"/>
      <c r="F126" s="178"/>
      <c r="G126" s="216"/>
    </row>
    <row r="127" spans="1:7" x14ac:dyDescent="0.2">
      <c r="A127" s="243"/>
      <c r="B127" s="124" t="s">
        <v>622</v>
      </c>
      <c r="C127" s="113"/>
      <c r="D127" s="113"/>
      <c r="E127" s="335"/>
      <c r="F127" s="259">
        <f>SUM(F115:F126)</f>
        <v>0</v>
      </c>
      <c r="G127" s="216"/>
    </row>
    <row r="128" spans="1:7" x14ac:dyDescent="0.2">
      <c r="A128" s="243"/>
      <c r="B128" s="124"/>
      <c r="C128" s="113"/>
      <c r="D128" s="113"/>
      <c r="E128" s="335"/>
      <c r="F128" s="178"/>
      <c r="G128" s="216"/>
    </row>
    <row r="129" spans="1:7" x14ac:dyDescent="0.2">
      <c r="A129" s="243" t="s">
        <v>623</v>
      </c>
      <c r="B129" s="250" t="s">
        <v>624</v>
      </c>
      <c r="C129" s="113"/>
      <c r="D129" s="113"/>
      <c r="E129" s="330"/>
      <c r="F129" s="113"/>
      <c r="G129" s="216"/>
    </row>
    <row r="130" spans="1:7" ht="51" x14ac:dyDescent="0.2">
      <c r="A130" s="245"/>
      <c r="B130" s="178" t="s">
        <v>625</v>
      </c>
      <c r="C130" s="178"/>
      <c r="D130" s="178"/>
      <c r="E130" s="335"/>
      <c r="F130" s="178"/>
      <c r="G130" s="216"/>
    </row>
    <row r="131" spans="1:7" x14ac:dyDescent="0.2">
      <c r="A131" s="245"/>
      <c r="B131" s="178" t="s">
        <v>626</v>
      </c>
      <c r="C131" s="178"/>
      <c r="D131" s="178"/>
      <c r="E131" s="335"/>
      <c r="F131" s="188"/>
      <c r="G131" s="216"/>
    </row>
    <row r="132" spans="1:7" x14ac:dyDescent="0.2">
      <c r="A132" s="243"/>
      <c r="B132" s="113" t="s">
        <v>627</v>
      </c>
      <c r="C132" s="113"/>
      <c r="D132" s="113"/>
      <c r="E132" s="330"/>
      <c r="F132" s="113"/>
      <c r="G132" s="216"/>
    </row>
    <row r="133" spans="1:7" x14ac:dyDescent="0.2">
      <c r="A133" s="243"/>
      <c r="B133" s="113" t="s">
        <v>628</v>
      </c>
      <c r="C133" s="113"/>
      <c r="D133" s="113"/>
      <c r="E133" s="330"/>
      <c r="F133" s="113"/>
      <c r="G133" s="216"/>
    </row>
    <row r="134" spans="1:7" x14ac:dyDescent="0.2">
      <c r="A134" s="243"/>
      <c r="B134" s="113" t="s">
        <v>629</v>
      </c>
      <c r="C134" s="113"/>
      <c r="D134" s="113"/>
      <c r="E134" s="330"/>
      <c r="F134" s="113"/>
      <c r="G134" s="216"/>
    </row>
    <row r="135" spans="1:7" ht="25.5" x14ac:dyDescent="0.2">
      <c r="A135" s="243"/>
      <c r="B135" s="124" t="s">
        <v>630</v>
      </c>
      <c r="C135" s="113" t="s">
        <v>171</v>
      </c>
      <c r="D135" s="113">
        <v>5</v>
      </c>
      <c r="E135" s="335"/>
      <c r="F135" s="178">
        <f>(D135*E135)</f>
        <v>0</v>
      </c>
      <c r="G135" s="216"/>
    </row>
    <row r="136" spans="1:7" x14ac:dyDescent="0.2">
      <c r="A136" s="243"/>
      <c r="B136" s="124" t="s">
        <v>631</v>
      </c>
      <c r="C136" s="113" t="s">
        <v>46</v>
      </c>
      <c r="D136" s="113">
        <v>8</v>
      </c>
      <c r="E136" s="335"/>
      <c r="F136" s="178">
        <f>(D136*E136)</f>
        <v>0</v>
      </c>
      <c r="G136" s="216"/>
    </row>
    <row r="137" spans="1:7" x14ac:dyDescent="0.2">
      <c r="A137" s="243"/>
      <c r="B137" s="124" t="s">
        <v>632</v>
      </c>
      <c r="C137" s="113" t="s">
        <v>46</v>
      </c>
      <c r="D137" s="113">
        <v>1</v>
      </c>
      <c r="E137" s="335"/>
      <c r="F137" s="178">
        <f>(D137*E137)</f>
        <v>0</v>
      </c>
      <c r="G137" s="216"/>
    </row>
    <row r="138" spans="1:7" x14ac:dyDescent="0.2">
      <c r="A138" s="243"/>
      <c r="B138" s="178" t="s">
        <v>633</v>
      </c>
      <c r="C138" s="113"/>
      <c r="D138" s="113"/>
      <c r="E138" s="335"/>
      <c r="F138" s="260">
        <f>SUM(F135:F137)</f>
        <v>0</v>
      </c>
      <c r="G138" s="216"/>
    </row>
    <row r="139" spans="1:7" x14ac:dyDescent="0.2">
      <c r="A139" s="243"/>
      <c r="B139" s="178"/>
      <c r="C139" s="113"/>
      <c r="D139" s="113"/>
      <c r="E139" s="335"/>
      <c r="F139" s="178"/>
      <c r="G139" s="216"/>
    </row>
    <row r="140" spans="1:7" x14ac:dyDescent="0.2">
      <c r="A140" s="243" t="s">
        <v>634</v>
      </c>
      <c r="B140" s="131" t="s">
        <v>461</v>
      </c>
      <c r="C140" s="113"/>
      <c r="D140" s="113"/>
      <c r="E140" s="330"/>
      <c r="F140" s="113"/>
      <c r="G140" s="216"/>
    </row>
    <row r="141" spans="1:7" ht="25.5" x14ac:dyDescent="0.2">
      <c r="A141" s="245"/>
      <c r="B141" s="178" t="s">
        <v>635</v>
      </c>
      <c r="C141" s="178" t="s">
        <v>46</v>
      </c>
      <c r="D141" s="178">
        <v>1</v>
      </c>
      <c r="E141" s="335"/>
      <c r="F141" s="178">
        <f>(D141*E141)</f>
        <v>0</v>
      </c>
      <c r="G141" s="216"/>
    </row>
    <row r="142" spans="1:7" ht="63.75" x14ac:dyDescent="0.2">
      <c r="A142" s="243"/>
      <c r="B142" s="124" t="s">
        <v>636</v>
      </c>
      <c r="C142" s="113" t="s">
        <v>46</v>
      </c>
      <c r="D142" s="113">
        <v>1</v>
      </c>
      <c r="E142" s="335"/>
      <c r="F142" s="178">
        <f>(D142*E142)</f>
        <v>0</v>
      </c>
      <c r="G142" s="216"/>
    </row>
    <row r="143" spans="1:7" x14ac:dyDescent="0.2">
      <c r="A143" s="243"/>
      <c r="B143" s="178" t="s">
        <v>637</v>
      </c>
      <c r="C143" s="113"/>
      <c r="D143" s="113"/>
      <c r="E143" s="330"/>
      <c r="F143" s="260">
        <f>SUM(F140:F142)</f>
        <v>0</v>
      </c>
      <c r="G143" s="216"/>
    </row>
    <row r="144" spans="1:7" ht="25.5" x14ac:dyDescent="0.2">
      <c r="A144" s="243" t="s">
        <v>638</v>
      </c>
      <c r="B144" s="178" t="s">
        <v>639</v>
      </c>
      <c r="C144" s="178" t="s">
        <v>46</v>
      </c>
      <c r="D144" s="113">
        <v>1</v>
      </c>
      <c r="E144" s="335"/>
      <c r="F144" s="178">
        <f>(D144*E144)</f>
        <v>0</v>
      </c>
      <c r="G144" s="216"/>
    </row>
    <row r="145" spans="1:7" x14ac:dyDescent="0.2">
      <c r="A145" s="251"/>
      <c r="B145" s="252"/>
      <c r="C145" s="252"/>
      <c r="D145" s="253"/>
      <c r="E145" s="337"/>
      <c r="F145" s="252"/>
      <c r="G145" s="216"/>
    </row>
    <row r="146" spans="1:7" x14ac:dyDescent="0.2">
      <c r="A146" s="243" t="s">
        <v>640</v>
      </c>
      <c r="B146" s="252" t="s">
        <v>641</v>
      </c>
      <c r="C146" s="178" t="s">
        <v>46</v>
      </c>
      <c r="D146" s="113">
        <v>1</v>
      </c>
      <c r="E146" s="335"/>
      <c r="F146" s="178">
        <f>(D146*E146)</f>
        <v>0</v>
      </c>
      <c r="G146" s="216"/>
    </row>
    <row r="147" spans="1:7" x14ac:dyDescent="0.2">
      <c r="A147" s="254"/>
      <c r="B147" s="252"/>
      <c r="C147" s="252"/>
      <c r="D147" s="253"/>
      <c r="E147" s="337"/>
      <c r="F147" s="252"/>
      <c r="G147" s="216"/>
    </row>
    <row r="148" spans="1:7" x14ac:dyDescent="0.2">
      <c r="A148" s="254"/>
      <c r="B148" s="252"/>
      <c r="C148" s="252"/>
      <c r="D148" s="253"/>
      <c r="E148" s="337"/>
      <c r="F148" s="252"/>
      <c r="G148" s="216"/>
    </row>
    <row r="149" spans="1:7" x14ac:dyDescent="0.2">
      <c r="A149" s="113"/>
      <c r="B149" s="178" t="s">
        <v>458</v>
      </c>
      <c r="C149" s="113"/>
      <c r="D149" s="113"/>
      <c r="E149" s="330"/>
      <c r="F149" s="260">
        <f>SUM(F78+F95+F103+F112+F127+F138+F143+F144+F146)</f>
        <v>0</v>
      </c>
      <c r="G149" s="216"/>
    </row>
    <row r="150" spans="1:7" x14ac:dyDescent="0.2">
      <c r="A150" s="113"/>
      <c r="B150" s="178"/>
      <c r="C150" s="113"/>
      <c r="D150" s="113"/>
      <c r="E150" s="330"/>
      <c r="F150" s="113"/>
      <c r="G150" s="216"/>
    </row>
    <row r="151" spans="1:7" ht="63.75" x14ac:dyDescent="0.2">
      <c r="A151" s="113"/>
      <c r="B151" s="255" t="s">
        <v>654</v>
      </c>
      <c r="C151" s="113"/>
      <c r="D151" s="113"/>
      <c r="E151" s="330"/>
      <c r="F151" s="113"/>
      <c r="G151" s="216"/>
    </row>
    <row r="152" spans="1:7" x14ac:dyDescent="0.2">
      <c r="A152" s="113"/>
      <c r="B152" s="178"/>
      <c r="C152" s="113"/>
      <c r="D152" s="113"/>
      <c r="E152" s="330"/>
      <c r="F152" s="113"/>
      <c r="G152" s="216"/>
    </row>
    <row r="153" spans="1:7" x14ac:dyDescent="0.2">
      <c r="A153" s="113"/>
      <c r="B153" s="178"/>
      <c r="C153" s="178"/>
      <c r="D153" s="113"/>
      <c r="E153" s="335"/>
      <c r="F153" s="178"/>
      <c r="G153" s="216"/>
    </row>
    <row r="154" spans="1:7" x14ac:dyDescent="0.2">
      <c r="A154" s="254"/>
      <c r="B154" s="252"/>
      <c r="C154" s="252"/>
      <c r="D154" s="253"/>
      <c r="E154" s="337"/>
      <c r="F154" s="252"/>
      <c r="G154" s="216"/>
    </row>
    <row r="155" spans="1:7" x14ac:dyDescent="0.2">
      <c r="A155" s="254"/>
      <c r="B155" s="256" t="s">
        <v>642</v>
      </c>
      <c r="C155" s="252"/>
      <c r="D155" s="253"/>
      <c r="E155" s="337"/>
      <c r="F155" s="252"/>
      <c r="G155" s="216"/>
    </row>
    <row r="156" spans="1:7" x14ac:dyDescent="0.2">
      <c r="A156" s="254"/>
      <c r="B156" s="252"/>
      <c r="C156" s="252"/>
      <c r="D156" s="253"/>
      <c r="E156" s="337"/>
      <c r="F156" s="252"/>
      <c r="G156" s="216"/>
    </row>
    <row r="157" spans="1:7" x14ac:dyDescent="0.2">
      <c r="A157" s="254"/>
      <c r="B157" s="244" t="s">
        <v>643</v>
      </c>
      <c r="C157" s="252"/>
      <c r="D157" s="253"/>
      <c r="E157" s="337"/>
      <c r="F157" s="261">
        <f>F78</f>
        <v>0</v>
      </c>
      <c r="G157" s="216"/>
    </row>
    <row r="158" spans="1:7" x14ac:dyDescent="0.2">
      <c r="A158" s="254"/>
      <c r="B158" s="113" t="s">
        <v>644</v>
      </c>
      <c r="C158" s="252"/>
      <c r="D158" s="253"/>
      <c r="E158" s="337"/>
      <c r="F158" s="262">
        <f>F95</f>
        <v>0</v>
      </c>
      <c r="G158" s="216"/>
    </row>
    <row r="159" spans="1:7" x14ac:dyDescent="0.2">
      <c r="A159" s="254"/>
      <c r="B159" s="252" t="s">
        <v>645</v>
      </c>
      <c r="C159" s="252"/>
      <c r="D159" s="253"/>
      <c r="E159" s="337"/>
      <c r="F159" s="262">
        <f>F103</f>
        <v>0</v>
      </c>
      <c r="G159" s="216"/>
    </row>
    <row r="160" spans="1:7" x14ac:dyDescent="0.2">
      <c r="A160" s="254"/>
      <c r="B160" s="252" t="s">
        <v>646</v>
      </c>
      <c r="C160" s="252"/>
      <c r="D160" s="253"/>
      <c r="E160" s="337"/>
      <c r="F160" s="262">
        <f>F112</f>
        <v>0</v>
      </c>
      <c r="G160" s="216"/>
    </row>
    <row r="161" spans="1:7" x14ac:dyDescent="0.2">
      <c r="A161" s="254"/>
      <c r="B161" s="252" t="s">
        <v>647</v>
      </c>
      <c r="C161" s="252"/>
      <c r="D161" s="253"/>
      <c r="E161" s="337"/>
      <c r="F161" s="262">
        <f>F127</f>
        <v>0</v>
      </c>
      <c r="G161" s="216"/>
    </row>
    <row r="162" spans="1:7" x14ac:dyDescent="0.2">
      <c r="A162" s="254"/>
      <c r="B162" s="252" t="s">
        <v>648</v>
      </c>
      <c r="C162" s="252"/>
      <c r="D162" s="253"/>
      <c r="E162" s="337"/>
      <c r="F162" s="262">
        <f>F138</f>
        <v>0</v>
      </c>
      <c r="G162" s="216"/>
    </row>
    <row r="163" spans="1:7" x14ac:dyDescent="0.2">
      <c r="A163" s="254"/>
      <c r="B163" s="252" t="s">
        <v>649</v>
      </c>
      <c r="C163" s="252"/>
      <c r="D163" s="253"/>
      <c r="E163" s="337"/>
      <c r="F163" s="262">
        <f>F143</f>
        <v>0</v>
      </c>
      <c r="G163" s="216"/>
    </row>
    <row r="164" spans="1:7" x14ac:dyDescent="0.2">
      <c r="A164" s="254"/>
      <c r="B164" s="252" t="s">
        <v>650</v>
      </c>
      <c r="C164" s="252"/>
      <c r="D164" s="253"/>
      <c r="E164" s="337"/>
      <c r="F164" s="262">
        <f>F144</f>
        <v>0</v>
      </c>
      <c r="G164" s="216"/>
    </row>
    <row r="165" spans="1:7" x14ac:dyDescent="0.2">
      <c r="A165" s="254"/>
      <c r="B165" s="252" t="s">
        <v>651</v>
      </c>
      <c r="C165" s="252"/>
      <c r="D165" s="253"/>
      <c r="E165" s="337"/>
      <c r="F165" s="262">
        <v>1500</v>
      </c>
      <c r="G165" s="216"/>
    </row>
    <row r="166" spans="1:7" x14ac:dyDescent="0.2">
      <c r="A166" s="254"/>
      <c r="B166" s="252"/>
      <c r="C166" s="252"/>
      <c r="D166" s="253"/>
      <c r="E166" s="337"/>
      <c r="F166" s="263"/>
      <c r="G166" s="216"/>
    </row>
    <row r="167" spans="1:7" x14ac:dyDescent="0.2">
      <c r="A167" s="254"/>
      <c r="B167" s="252" t="s">
        <v>458</v>
      </c>
      <c r="C167" s="252"/>
      <c r="D167" s="253"/>
      <c r="E167" s="337"/>
      <c r="F167" s="262">
        <f>SUM(F157:F166)</f>
        <v>1500</v>
      </c>
      <c r="G167" s="216"/>
    </row>
    <row r="168" spans="1:7" ht="38.25" x14ac:dyDescent="0.2">
      <c r="A168" s="113"/>
      <c r="B168" s="255" t="s">
        <v>652</v>
      </c>
      <c r="C168" s="113"/>
      <c r="D168" s="113"/>
      <c r="E168" s="330"/>
      <c r="F168" s="113"/>
      <c r="G168" s="216"/>
    </row>
    <row r="169" spans="1:7" x14ac:dyDescent="0.2">
      <c r="A169" s="193"/>
      <c r="B169" s="21"/>
      <c r="C169" s="101"/>
      <c r="D169" s="102"/>
      <c r="E169" s="19"/>
      <c r="F169" s="19"/>
    </row>
    <row r="170" spans="1:7" x14ac:dyDescent="0.2">
      <c r="A170" s="220" t="s">
        <v>462</v>
      </c>
      <c r="C170" s="217"/>
      <c r="D170" s="218"/>
      <c r="E170" s="218"/>
      <c r="F170" s="219"/>
    </row>
    <row r="171" spans="1:7" x14ac:dyDescent="0.2">
      <c r="A171" s="220" t="s">
        <v>463</v>
      </c>
      <c r="C171" s="217"/>
      <c r="D171" s="218"/>
      <c r="E171" s="218"/>
      <c r="F171" s="219"/>
    </row>
    <row r="172" spans="1:7" x14ac:dyDescent="0.2">
      <c r="A172" s="220" t="s">
        <v>464</v>
      </c>
      <c r="C172" s="217"/>
      <c r="D172" s="218"/>
      <c r="E172" s="218"/>
      <c r="F172" s="219"/>
    </row>
    <row r="173" spans="1:7" x14ac:dyDescent="0.2">
      <c r="C173" s="217"/>
      <c r="D173" s="218"/>
      <c r="E173" s="218"/>
      <c r="F173" s="219"/>
    </row>
  </sheetData>
  <sheetProtection algorithmName="SHA-512" hashValue="GEFAOdV+xeCWi7416O6wIxTzAgaWp4fGyPaHEoskKUm8C1XAG8uzyOBLqeSFfqw8iU7prcHmzxazLE/70EMaHA==" saltValue="3AOX85f8B/z2l0sM5E6/sQ==" spinCount="100000" sheet="1" objects="1" scenarios="1"/>
  <pageMargins left="0.78740157480314965" right="0.78740157480314965" top="1.0629921259842521" bottom="1.0629921259842521" header="0.78740157480314965" footer="0.78740157480314965"/>
  <pageSetup paperSize="9" scale="78" firstPageNumber="0" fitToHeight="20" orientation="portrait" horizontalDpi="300" verticalDpi="300" r:id="rId1"/>
  <headerFooter>
    <oddFooter>&amp;L&amp;A&amp;R&amp;P/&amp;N</oddFooter>
  </headerFooter>
  <rowBreaks count="1" manualBreakCount="1">
    <brk id="33" max="16383" man="1"/>
  </rowBreaks>
</worksheet>
</file>

<file path=docProps/app.xml><?xml version="1.0" encoding="utf-8"?>
<Properties xmlns="http://schemas.openxmlformats.org/officeDocument/2006/extended-properties" xmlns:vt="http://schemas.openxmlformats.org/officeDocument/2006/docPropsVTypes">
  <Template/>
  <TotalTime>115</TotalTime>
  <Application>Microsoft Excel</Application>
  <DocSecurity>0</DocSecurity>
  <ScaleCrop>false</ScaleCrop>
  <HeadingPairs>
    <vt:vector size="4" baseType="variant">
      <vt:variant>
        <vt:lpstr>Delovni listi</vt:lpstr>
      </vt:variant>
      <vt:variant>
        <vt:i4>8</vt:i4>
      </vt:variant>
      <vt:variant>
        <vt:lpstr>Imenovani obsegi</vt:lpstr>
      </vt:variant>
      <vt:variant>
        <vt:i4>14</vt:i4>
      </vt:variant>
    </vt:vector>
  </HeadingPairs>
  <TitlesOfParts>
    <vt:vector size="22" baseType="lpstr">
      <vt:lpstr>Rekapitulacija</vt:lpstr>
      <vt:lpstr>0-Preddela</vt:lpstr>
      <vt:lpstr>Odsek 1</vt:lpstr>
      <vt:lpstr>Odsek 2</vt:lpstr>
      <vt:lpstr>Odsek 3</vt:lpstr>
      <vt:lpstr>Odsek 4</vt:lpstr>
      <vt:lpstr>5 Črp-gradbeni in strojni</vt:lpstr>
      <vt:lpstr>6 Črp-elektro instalacije</vt:lpstr>
      <vt:lpstr>'0-Preddela'!Področje_tiskanja</vt:lpstr>
      <vt:lpstr>'5 Črp-gradbeni in strojni'!Področje_tiskanja</vt:lpstr>
      <vt:lpstr>'Odsek 1'!Področje_tiskanja</vt:lpstr>
      <vt:lpstr>'Odsek 2'!Področje_tiskanja</vt:lpstr>
      <vt:lpstr>'Odsek 3'!Področje_tiskanja</vt:lpstr>
      <vt:lpstr>'Odsek 4'!Področje_tiskanja</vt:lpstr>
      <vt:lpstr>Rekapitulacija!Področje_tiskanja</vt:lpstr>
      <vt:lpstr>'0-Preddela'!Tiskanje_naslovov</vt:lpstr>
      <vt:lpstr>'5 Črp-gradbeni in strojni'!Tiskanje_naslovov</vt:lpstr>
      <vt:lpstr>'6 Črp-elektro instalacije'!Tiskanje_naslovov</vt:lpstr>
      <vt:lpstr>'Odsek 1'!Tiskanje_naslovov</vt:lpstr>
      <vt:lpstr>'Odsek 2'!Tiskanje_naslovov</vt:lpstr>
      <vt:lpstr>'Odsek 3'!Tiskanje_naslovov</vt:lpstr>
      <vt:lpstr>'Odsek 4'!Tiskanje_naslovov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x</dc:creator>
  <dc:description/>
  <cp:lastModifiedBy>Zoran</cp:lastModifiedBy>
  <cp:revision>23</cp:revision>
  <cp:lastPrinted>2021-09-21T17:13:55Z</cp:lastPrinted>
  <dcterms:created xsi:type="dcterms:W3CDTF">2001-04-14T14:29:31Z</dcterms:created>
  <dcterms:modified xsi:type="dcterms:W3CDTF">2021-09-22T08:51:30Z</dcterms:modified>
  <dc:language>sl-SI</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