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ma.zupancic\OneDrive - Obcina Brezice\SLUZBA\JAVNA NAROČILA\NMV\OKIGJS\Zadrževalni bazen\RD\"/>
    </mc:Choice>
  </mc:AlternateContent>
  <xr:revisionPtr revIDLastSave="56" documentId="13_ncr:1_{11F0A23A-35BD-44B1-93B9-15A0EF1DC2AE}" xr6:coauthVersionLast="45" xr6:coauthVersionMax="45" xr10:uidLastSave="{7B44BEBB-02EF-4EBC-BAF4-67BFFCD13F60}"/>
  <bookViews>
    <workbookView xWindow="-120" yWindow="-120" windowWidth="25440" windowHeight="15390" tabRatio="821" xr2:uid="{00000000-000D-0000-FFFF-FFFF00000000}"/>
  </bookViews>
  <sheets>
    <sheet name="PB-2" sheetId="1" r:id="rId1"/>
  </sheets>
  <definedNames>
    <definedName name="_xlnm.Print_Area" localSheetId="0">'PB-2'!$A$1:$F$227</definedName>
    <definedName name="Print_Area_MI" localSheetId="0">'PB-2'!$A$1:$F$228</definedName>
    <definedName name="_xlnm.Print_Titles" localSheetId="0">'PB-2'!$45:$45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5" i="1" l="1"/>
  <c r="F54" i="1" l="1"/>
  <c r="F72" i="1"/>
  <c r="F70" i="1"/>
  <c r="F68" i="1"/>
  <c r="F64" i="1"/>
  <c r="F197" i="1"/>
  <c r="F130" i="1"/>
  <c r="F95" i="1"/>
  <c r="F214" i="1"/>
  <c r="F115" i="1"/>
  <c r="F206" i="1"/>
  <c r="F205" i="1"/>
  <c r="F220" i="1"/>
  <c r="F218" i="1"/>
  <c r="F216" i="1"/>
  <c r="F212" i="1"/>
  <c r="F211" i="1"/>
  <c r="F199" i="1"/>
  <c r="F195" i="1"/>
  <c r="F200" i="1" s="1"/>
  <c r="F190" i="1"/>
  <c r="F188" i="1"/>
  <c r="F186" i="1"/>
  <c r="F184" i="1"/>
  <c r="F182" i="1"/>
  <c r="F181" i="1"/>
  <c r="F178" i="1"/>
  <c r="F175" i="1"/>
  <c r="F173" i="1"/>
  <c r="F163" i="1"/>
  <c r="D132" i="1"/>
  <c r="F132" i="1" s="1"/>
  <c r="D150" i="1"/>
  <c r="F150" i="1" s="1"/>
  <c r="D167" i="1"/>
  <c r="D169" i="1" s="1"/>
  <c r="F169" i="1" s="1"/>
  <c r="D165" i="1"/>
  <c r="F165" i="1" s="1"/>
  <c r="F158" i="1"/>
  <c r="F156" i="1"/>
  <c r="D154" i="1"/>
  <c r="F154" i="1" s="1"/>
  <c r="D152" i="1"/>
  <c r="F152" i="1" s="1"/>
  <c r="D148" i="1"/>
  <c r="F148" i="1" s="1"/>
  <c r="D146" i="1"/>
  <c r="F146" i="1" s="1"/>
  <c r="D124" i="1"/>
  <c r="F124" i="1" s="1"/>
  <c r="D142" i="1"/>
  <c r="F142" i="1" s="1"/>
  <c r="D144" i="1"/>
  <c r="F144" i="1" s="1"/>
  <c r="F137" i="1"/>
  <c r="F136" i="1"/>
  <c r="F135" i="1"/>
  <c r="D128" i="1"/>
  <c r="F128" i="1" s="1"/>
  <c r="D126" i="1"/>
  <c r="F126" i="1" s="1"/>
  <c r="D122" i="1"/>
  <c r="F122" i="1" s="1"/>
  <c r="F138" i="1" s="1"/>
  <c r="F111" i="1"/>
  <c r="F93" i="1"/>
  <c r="F66" i="1"/>
  <c r="F60" i="1"/>
  <c r="D83" i="1"/>
  <c r="F83" i="1" s="1"/>
  <c r="D82" i="1"/>
  <c r="F82" i="1" s="1"/>
  <c r="D107" i="1"/>
  <c r="F107" i="1" s="1"/>
  <c r="D113" i="1"/>
  <c r="F113" i="1" s="1"/>
  <c r="D117" i="1"/>
  <c r="F117" i="1" s="1"/>
  <c r="D105" i="1"/>
  <c r="F105" i="1" s="1"/>
  <c r="D103" i="1"/>
  <c r="F103" i="1" s="1"/>
  <c r="D101" i="1"/>
  <c r="F101" i="1" s="1"/>
  <c r="D99" i="1"/>
  <c r="F99" i="1" s="1"/>
  <c r="D97" i="1"/>
  <c r="F97" i="1" s="1"/>
  <c r="D62" i="1"/>
  <c r="F62" i="1" s="1"/>
  <c r="D91" i="1"/>
  <c r="F91" i="1" s="1"/>
  <c r="D90" i="1"/>
  <c r="F90" i="1" s="1"/>
  <c r="D87" i="1"/>
  <c r="F87" i="1" s="1"/>
  <c r="D86" i="1"/>
  <c r="F86" i="1" s="1"/>
  <c r="D49" i="1"/>
  <c r="F49" i="1" s="1"/>
  <c r="D79" i="1"/>
  <c r="F79" i="1" s="1"/>
  <c r="F74" i="1"/>
  <c r="F58" i="1"/>
  <c r="F50" i="1"/>
  <c r="F52" i="1"/>
  <c r="A52" i="1"/>
  <c r="F56" i="1"/>
  <c r="A208" i="1"/>
  <c r="A210" i="1" s="1"/>
  <c r="A165" i="1"/>
  <c r="A167" i="1" s="1"/>
  <c r="A144" i="1"/>
  <c r="A146" i="1" s="1"/>
  <c r="A124" i="1"/>
  <c r="A126" i="1" s="1"/>
  <c r="A128" i="1" s="1"/>
  <c r="A81" i="1"/>
  <c r="D208" i="1"/>
  <c r="F208" i="1" s="1"/>
  <c r="W218" i="1"/>
  <c r="X218" i="1" s="1"/>
  <c r="W226" i="1"/>
  <c r="X226" i="1" s="1"/>
  <c r="W225" i="1"/>
  <c r="X225" i="1" s="1"/>
  <c r="W201" i="1"/>
  <c r="X201" i="1" s="1"/>
  <c r="W208" i="1"/>
  <c r="X208" i="1" s="1"/>
  <c r="W209" i="1"/>
  <c r="X209" i="1" s="1"/>
  <c r="W210" i="1"/>
  <c r="X210" i="1" s="1"/>
  <c r="W211" i="1"/>
  <c r="X211" i="1" s="1"/>
  <c r="W212" i="1"/>
  <c r="X212" i="1" s="1"/>
  <c r="W213" i="1"/>
  <c r="X213" i="1" s="1"/>
  <c r="W216" i="1"/>
  <c r="X216" i="1" s="1"/>
  <c r="W217" i="1"/>
  <c r="X217" i="1" s="1"/>
  <c r="F75" i="1" l="1"/>
  <c r="F25" i="1" s="1"/>
  <c r="F159" i="1"/>
  <c r="D171" i="1"/>
  <c r="F171" i="1" s="1"/>
  <c r="F27" i="1"/>
  <c r="D109" i="1"/>
  <c r="F109" i="1" s="1"/>
  <c r="F118" i="1" s="1"/>
  <c r="A214" i="1"/>
  <c r="A216" i="1" s="1"/>
  <c r="F30" i="1"/>
  <c r="A169" i="1"/>
  <c r="F167" i="1"/>
  <c r="F191" i="1" s="1"/>
  <c r="F28" i="1"/>
  <c r="A85" i="1"/>
  <c r="A148" i="1"/>
  <c r="A150" i="1" s="1"/>
  <c r="A130" i="1"/>
  <c r="A132" i="1" s="1"/>
  <c r="F26" i="1" l="1"/>
  <c r="F29" i="1"/>
  <c r="A218" i="1"/>
  <c r="A220" i="1" s="1"/>
  <c r="A222" i="1" s="1"/>
  <c r="A89" i="1"/>
  <c r="A93" i="1" s="1"/>
  <c r="A95" i="1" s="1"/>
  <c r="A58" i="1"/>
  <c r="A60" i="1" s="1"/>
  <c r="A134" i="1"/>
  <c r="A152" i="1"/>
  <c r="A154" i="1" s="1"/>
  <c r="A156" i="1" s="1"/>
  <c r="A158" i="1" s="1"/>
  <c r="A171" i="1"/>
  <c r="F223" i="1" l="1"/>
  <c r="A225" i="1"/>
  <c r="A62" i="1"/>
  <c r="A64" i="1" s="1"/>
  <c r="A173" i="1"/>
  <c r="A97" i="1"/>
  <c r="A99" i="1" s="1"/>
  <c r="F227" i="1" l="1"/>
  <c r="F31" i="1" s="1"/>
  <c r="F32" i="1" s="1"/>
  <c r="A175" i="1"/>
  <c r="A66" i="1"/>
  <c r="A68" i="1" s="1"/>
  <c r="A101" i="1"/>
  <c r="A103" i="1" s="1"/>
  <c r="F33" i="1" l="1"/>
  <c r="F34" i="1" s="1"/>
  <c r="F35" i="1" s="1"/>
  <c r="F36" i="1" s="1"/>
  <c r="A105" i="1"/>
  <c r="A107" i="1" s="1"/>
  <c r="A177" i="1"/>
  <c r="A180" i="1" s="1"/>
  <c r="A70" i="1"/>
  <c r="A72" i="1" s="1"/>
  <c r="A74" i="1" l="1"/>
  <c r="A184" i="1"/>
  <c r="A186" i="1" s="1"/>
  <c r="A188" i="1" s="1"/>
  <c r="A190" i="1" s="1"/>
  <c r="A109" i="1"/>
  <c r="A111" i="1" l="1"/>
  <c r="A113" i="1" s="1"/>
  <c r="A115" i="1" l="1"/>
  <c r="A117" i="1" s="1"/>
</calcChain>
</file>

<file path=xl/sharedStrings.xml><?xml version="1.0" encoding="utf-8"?>
<sst xmlns="http://schemas.openxmlformats.org/spreadsheetml/2006/main" count="252" uniqueCount="133">
  <si>
    <t xml:space="preserve"> </t>
  </si>
  <si>
    <t>--------------------------------------------------------------------------</t>
  </si>
  <si>
    <t>P O P I S     D E L    I N</t>
  </si>
  <si>
    <t>P R O J E K T A N T S K I    P R E D R A Č U N</t>
  </si>
  <si>
    <t>Dela se obvezno obračunavajo po dejanskih količinah !</t>
  </si>
  <si>
    <t xml:space="preserve">             </t>
  </si>
  <si>
    <t>m'</t>
  </si>
  <si>
    <t>m3</t>
  </si>
  <si>
    <t>m2</t>
  </si>
  <si>
    <t>kos</t>
  </si>
  <si>
    <t>Ostala manjša dela po pisnem naročilu nadzornega organa.</t>
  </si>
  <si>
    <t>Šifra</t>
  </si>
  <si>
    <t>Postavka/EM</t>
  </si>
  <si>
    <t>Količina</t>
  </si>
  <si>
    <t>Cena/EM</t>
  </si>
  <si>
    <t>Skupaj</t>
  </si>
  <si>
    <t>Projektantski nadzor</t>
  </si>
  <si>
    <t>Geomehanska spremljava in nadzor je vključen v ceno izkopa!</t>
  </si>
  <si>
    <t>V predračunskih postavkah ni upoštevan DDV !</t>
  </si>
  <si>
    <t xml:space="preserve">1.1 PREDDELA: </t>
  </si>
  <si>
    <t>1.2 ZEMELJSKA DELA</t>
  </si>
  <si>
    <t>1.3 BETONSKA DELA</t>
  </si>
  <si>
    <t>1.4 TESARSKA DELA</t>
  </si>
  <si>
    <t>1.5 ZIDARSKA DELA</t>
  </si>
  <si>
    <t>1.7 OSTALA DELA</t>
  </si>
  <si>
    <t>1.1 PREDDELA</t>
  </si>
  <si>
    <t>1.6 MONTAŽNA DELA</t>
  </si>
  <si>
    <t>Skupaj 1.7:</t>
  </si>
  <si>
    <t/>
  </si>
  <si>
    <t>kpl</t>
  </si>
  <si>
    <t>III.ktg.</t>
  </si>
  <si>
    <t>IV.ktg.</t>
  </si>
  <si>
    <t>Ročno planiranje dna gradbene jame/jarka s točnostjo +- 3 cm z izkopom ali dosipom materiala.</t>
  </si>
  <si>
    <t>Strojno zasipavanje ob bazenu z zemljo iz izkopa z deponije na gradbišču. Zasip izvajati v slojih  in utrjevati z lahkimi komprimacijskimi sredstvi (v plasteh po 20 cm), do 20 cm pod koto ureditve terena Vključno z nakladanjem in kipanjem v gradb. jamo.</t>
  </si>
  <si>
    <t>Komplet črpanje za znižanje nivoja talne vode min 1.0m pod dnom gradbene jame.</t>
  </si>
  <si>
    <t>Humusiranje površine ob bazenu in razbremenilniku z zatravitvijo.</t>
  </si>
  <si>
    <t>Komplet izdelava dovozne poti do gradbišča širine 3,0m iz drobljenca v debelini 30,0cm z utrjevanjem.</t>
  </si>
  <si>
    <t>Dobava, krivljenje, polaganje in vezanje  armature.</t>
  </si>
  <si>
    <t>(RA 400/500 do fi 12mm)</t>
  </si>
  <si>
    <t>(RA 400/500 nad fi 12mm)</t>
  </si>
  <si>
    <t>(MAG 500/560)</t>
  </si>
  <si>
    <t>kg</t>
  </si>
  <si>
    <t>Naprava horizontalne hidroizolacije bazena z lepenko (kot npr. IZOTEKT V-4) na predhodni hladni premaz površine (kot npr. Ibitol)</t>
  </si>
  <si>
    <t>Naprava vertikalne hidroizolacije bazena z lepenko (kot npr. IZOTEKT V-4) na predhodni hladni premaz površine (kot npr. Ibitol)</t>
  </si>
  <si>
    <t>m</t>
  </si>
  <si>
    <t>Izdelava izpustne glave na brežini odvodnika, zavarovana s kamnom v betonu.</t>
  </si>
  <si>
    <t>Čiščenje terena po končanih delih z vzpostavitvijo v prvotno stanje, ocena za celotno gradbišče</t>
  </si>
  <si>
    <t>ur</t>
  </si>
  <si>
    <t>KV</t>
  </si>
  <si>
    <t>PKV</t>
  </si>
  <si>
    <t>Izdelava komplet komunalnega katastra po zakonu, standardih ter veljavnih normativih in predpisih.</t>
  </si>
  <si>
    <t>Izdelava komplet preizkusa vodotesnosti bazena (nalivalni) in cevovodov po veljavnih normativih in predpisih.</t>
  </si>
  <si>
    <t>Razna nepredvidena in dodatna dela, ki jih pred izvedbo pisno potrdi nadzorni organ in investitor (priključitev na obstoječi kanal, prestavitev obstoječih vodov ...)</t>
  </si>
  <si>
    <t xml:space="preserve">ur  </t>
  </si>
  <si>
    <t xml:space="preserve">     R E K A P I T U L A C I J A  - ZBDV Čatež</t>
  </si>
  <si>
    <t>Skupaj 1.1:</t>
  </si>
  <si>
    <t>Skupaj 1.2:</t>
  </si>
  <si>
    <t>Skupaj 1.3:</t>
  </si>
  <si>
    <t>Skupaj 1.4:</t>
  </si>
  <si>
    <t>Skupaj 1.6:</t>
  </si>
  <si>
    <t>Skupaj 1.5:</t>
  </si>
  <si>
    <t>Priprava in organizacija gradbišča z vsemi objekti, instalacijami in orodji, zagotovitvijo varnostnih in higiensko-tehničnih pogojev in predpisanimi oznakami gradbišča.</t>
  </si>
  <si>
    <t>Odstranjevanje gradbišča z demontažo in odvozom gradbiščnih naprav in objektov in zagotovitvijo prvotnega stanja na uporabljenih površinah.</t>
  </si>
  <si>
    <t>Strojni odriv humusa deb. 20 cm na začasne deponije v oddaljenosti do cca 100 m</t>
  </si>
  <si>
    <t>Strojni izkop jarka za kanalizacijo v terenu III. in IV., ktg., globine od 2.0 do 3.0m, v naklonu 75°, z nakladanjem in transportom izkopanega materiala na začasno deponijo, oddaljenosti do 500 m.</t>
  </si>
  <si>
    <t xml:space="preserve">Strojno zasipavanje preostalega dela jarka z drobljencem 0/32mm, strojno nabijanje v plasteh po 20 cm do nosilnosti Ev2&gt;60MPa na planumu tampona. </t>
  </si>
  <si>
    <t>Opaži odprtin za naknadno vgrajevanje fazonskih kosov in cevi,  ki se kontaktno betonirajo. Priprava, montaža, demontaža in čiščenje. Vključno vsa sredstva opiranja in vezanja. Dimenzije odprtin 50x50cm.</t>
  </si>
  <si>
    <t>Dobava in vgrajevanje nearmiranega podložnega betona pod temeljno ploščo C12/15, debeline d=10cm, skupaj z izravnavo za naknadno betoniranje sten in plošč bazena.</t>
  </si>
  <si>
    <t>Dobava in vgraditev vodotesnega betona C30/37 v arm. bet. stene in plošče bazena, raz., prereza 0,30 m3/m2/m1. Z notranje strani bazena, raz. gladek beton!</t>
  </si>
  <si>
    <t>Zatesnitev delovnih stikov z ekspanzijskim tesnilnim trakom iz bentonita in kavčuka. Upoštevati ves drobni material ter lepilno maso. Upoštevati nabavo in vgradnjo. D=2.0cm.</t>
  </si>
  <si>
    <t>Zaščita vertikalne hidroizolacije bazena s stiroporjem debeline 2cm izvedene pred zasipom bazena!</t>
  </si>
  <si>
    <t>Dobava in montaža vstopnih lestev iz nerjavnega jekla kvalitete 1.4571, vključno pritrdilni material, po detajlu. Ves nerjavni material je kvalietete  1.4571. Mere preveriti na licu mesta!</t>
  </si>
  <si>
    <t>Enota</t>
  </si>
  <si>
    <t>Zakoličevanje in nivelacija vzdolžnih profilov z zavarovanjem ter določitev absolutnih višinskih kot terena na mestu predvidenega jaška.</t>
  </si>
  <si>
    <t>Postavitev in zavarovanje prečnih profilov z dvakratnim niveliranjem</t>
  </si>
  <si>
    <t>Rušitev obstoječih betonskih stopnic z odvozom in deponiranjem na stalno deponijo do 10km.</t>
  </si>
  <si>
    <t>Odstranitev obstoječe kovinske ograje ob stopnicah ter deponiranje na začasni deponijo, za ponovno vgradnjo.</t>
  </si>
  <si>
    <t>Strojno zasipavanje jarka (cevovod) z izkopanim materialom in komprimiranjem v slojih po 20 cm</t>
  </si>
  <si>
    <t>Odvoz viška zemlje iz izkopa na stalno deponijo na razdalji do 10 km komplet z nakladanjem razkladanjem in razprostiranjem na odlagališču.</t>
  </si>
  <si>
    <t>Dobava in vgraditev naklonskega betona C25/30 v debelini 5-40 cm na AB temeljno ploščo v bazenu, raz.. Beton v padcu po projektu.</t>
  </si>
  <si>
    <t>Dobava in vgraditev betona C16/20 polnilni beton/mulda v jašku, prereza 0,30 m3/m2/m1. Po trasi vtok-iztok izdelati betonsko muldo širine vtočnega profila.</t>
  </si>
  <si>
    <t>Dobava in vgraditev LTŽ pokrova na vstopni jašek nad bazenom. Pokrov za težki promet 40ton, dim. 80/80cm</t>
  </si>
  <si>
    <t>Dobava in vgraditev LTŽ pokrova na vstopni jašek nad bazenom. Pokrov za težki promet 40ton, dim. 100/100cm</t>
  </si>
  <si>
    <t>DN 500</t>
  </si>
  <si>
    <t>`1000/500 globine do 2.5m</t>
  </si>
  <si>
    <t>`1000/500 globine do 3.5m</t>
  </si>
  <si>
    <t>Izvedba by-pasa kanalizacije, zaradi izgradnje ZBDV.</t>
  </si>
  <si>
    <t>Dobava in vgraditev betona C25/30 za stopnice ob protipoplavnem zidu.</t>
  </si>
  <si>
    <t>m1</t>
  </si>
  <si>
    <t>Montaža obstoječe kovinske ograje na stopnice s prevozom iz začasne deponije, s pritrdilnim materialom in vsemi ostalimi pomožnimi deli.</t>
  </si>
  <si>
    <t>jaški</t>
  </si>
  <si>
    <t>cevi</t>
  </si>
  <si>
    <r>
      <rPr>
        <sz val="11"/>
        <rFont val="Arial"/>
        <family val="2"/>
        <charset val="238"/>
      </rPr>
      <t>Dobava in montaža mehanske dušilke iz nerjavečega jekla (AISI 304 ali boljše) z iztokom DN 200 mm in zadušenim pretokom Qab=5,0l/s, višina vode pred dušilko 3,45m, zaporni zasun pred dušilko, stenski priključek, zasilno praznjenje, podaljšek vretena zasuna. V kompletu, z vsemi deli in materiali.</t>
    </r>
    <r>
      <rPr>
        <sz val="11"/>
        <color indexed="10"/>
        <rFont val="Arial"/>
        <family val="2"/>
        <charset val="238"/>
      </rPr>
      <t xml:space="preserve"> </t>
    </r>
  </si>
  <si>
    <t>pavšal 10% od postavk 1.1 do 1.6:</t>
  </si>
  <si>
    <t>Komplet geodetski posnetek izvedenega stanja</t>
  </si>
  <si>
    <t xml:space="preserve">Zavarovanje gradbene jame v času gradnje z zagatnicami </t>
  </si>
  <si>
    <t>Demontaža obstoječih prometnih znakov na dveh podstavkih s porušitvijo in odstranitvijo temelja droga ter odvozom znakov na začasno deponijo.</t>
  </si>
  <si>
    <t>Izdelava temelja iz cementnega betona C 12/15, globine 80 cm, premera 40 cm</t>
  </si>
  <si>
    <t>Ponovna postavitev prometnih znakov s prevozom iz začasne deponije</t>
  </si>
  <si>
    <t>Varovanje obstoječe kanalizacije ob izgradnji zadrževalnega bazena.</t>
  </si>
  <si>
    <t>Varovanje obstoječih TK kablov ob izgradnji zadrževalnega bazena.</t>
  </si>
  <si>
    <t>Varovanje obstoječih kablov nn el. ob izgradnji zadrževalnega bazena.</t>
  </si>
  <si>
    <t>Strojno - ročni izkop jarka do določene nivelete s točnostjo ±10cm, odmetom materiala 1.0 m od roba jarka;  globina izkopa po podatkih vzdolžnega profila. Izkop izvršiti skladno s predpisi o varstvu pri delu. Izkop v težkih pogojih dela - bližina obst. komunalnih, elektro, PTT itd vodov, ... !</t>
  </si>
  <si>
    <t>Izvedba podvrtanja protipoplavnega zidu z vstavitvijo jeklene cevi fi 800, z izvedbo gradbenih jam in dobavo jeklene cevi v kompletu. Dolžina podvrtanja 8m.</t>
  </si>
  <si>
    <t xml:space="preserve">NAROČNIK: Občina Brežice, Cesta prvih borcev 18, 8250 Brežice  </t>
  </si>
  <si>
    <t xml:space="preserve">Objekt: Gradnja zadrževalnega bazena deževnih vod - kanalizacija Čatež ob Savi  I. faza   </t>
  </si>
  <si>
    <r>
      <rPr>
        <b/>
        <sz val="11"/>
        <rFont val="Arial"/>
        <family val="2"/>
        <charset val="238"/>
      </rPr>
      <t>Opomba:</t>
    </r>
    <r>
      <rPr>
        <sz val="11"/>
        <rFont val="Arial"/>
        <family val="2"/>
        <charset val="238"/>
      </rPr>
      <t xml:space="preserve"> V ceni posameznih postavk so zajeta vsa pomožna dela, transporti in prenosi, ki k vsaki posebej spadajo !!</t>
    </r>
  </si>
  <si>
    <t>22% DDV</t>
  </si>
  <si>
    <t>Ureditev vseh potrebnih začasnih deponij viška gradbenega materiala, vključno s pridobitvijo vseh potrebnih soglasij. Komplet za celo gradbišče</t>
  </si>
  <si>
    <t>Preverba podatkov, detekcija, odkrivanje in zakoličevanje vseh obstoječih infrastrukturnih vodov, ki tangirajo gradnjo (elektro, PTT, kanalizacija, vodovod...). Ocena za celotno gradbišče</t>
  </si>
  <si>
    <t>Rušitev obst. kanalizacije do fi 600mm odvozom in deponiranjem na stalno deponijo do 10km.</t>
  </si>
  <si>
    <t>Strojni izkop gradbene jame v terenu III.-IV.ktg. do določene nivelete s točnostjo +-10 cm z odmetom materiala 5.0 m od roba jame. Izkop izvršiti skladno s predpisi o varstvu pri delu.</t>
  </si>
  <si>
    <t>Razpiranje jarkov na mestih, kjer je možnost zrušenja bokov pri močnejšem zem. pritisku, glede na stabilnost brežin, globino jame. Razpirati je potrebno povsod, kjer to zahtevajo predpisi o varstvu pri delu.</t>
  </si>
  <si>
    <t>Komplet izdelava peščene posteljice iz nekoherentnega materiala do deb. 13cm, v kateri si cev sama izoblikuje ležišče. '(pesek/gramoz z max. zrnavostjo 32mm)</t>
  </si>
  <si>
    <t>Izdelava dvostranskega opaža AB sten bazena in razbremenilnika. V ceno vključeno opaženje, razopaženje in čiščenje opaža. Opaž za vidni beton.</t>
  </si>
  <si>
    <t>Izdelava enostranskega opaža arm. bet. stropne plošče bazena vključeno s podpiranjem do višine 3,0m (oteženo delo). V ceno je zajeto opaženje, razopaženje in čiščenje opaža. Opaž za vidni beton.</t>
  </si>
  <si>
    <t>Izdelava enostranskega opaža za rob krovne plošče. V ceno vključeno opaženje, razopaženje in čiščenje opaža.</t>
  </si>
  <si>
    <t>Izdelava enostranskega opaža za rob temeljne plošče V ceno vključeno opaženje, razopaženje in čiščenje opaža.</t>
  </si>
  <si>
    <t>Izdelava enostranskega opaža za stopnice in rob le teh. V ceno vključeno opaženje, razopaženje in čiščenje opaža.</t>
  </si>
  <si>
    <t>Izdelava dvostranskega opaža vstopnega jaška. Jašek pravokotne oblike 80/80cm. V ceno vključeno opaženje, razopaženje in čiščenje opaža. Opaž za vidni beton.</t>
  </si>
  <si>
    <t>Izdelava dvostranskega opaža vstopnega jaška. Jašek pravokotne oblike 100/100cm. V ceno vključeno opaženje, razopaženje in čiščenje opaža. Opaž za vidni beton.</t>
  </si>
  <si>
    <t>Izdelava enostranskega opaža odprtin za namestitev vtočnih in odtočnih cevi. Opaž izveden v radiu cevi za gladke vidne površine. do 1.5m2/kos</t>
  </si>
  <si>
    <t>Komplet dobava in vgraditev betonskih cevi, v predpisanih padcih in z vodotesnimi stiki, način vgradnje po navodilih proizvajalca!</t>
  </si>
  <si>
    <t>Komplet dobava in montaža revizijskih jaškov iz betonskih cevi (komplet jaški z vtoki, iztoki, odcepi, muldami, redukcijami, nastavki, AB vencem in LTŽ pokrovom fi 600mm za težki promet 400kN). Izvajalec je dolžan pred naročilom preveriti in dopolniti podatke za naročilo (uskladitev višin jaškov z izmero dejanskega terena pred gradnjo s projektantskim nadzorom) - povprečne globine  1.5-3.5m</t>
  </si>
  <si>
    <t>Izdelava priključkov kanalizacije (dotok, odtok) za cevi 250 do 500mm na AB steno bazena na predhodno izdelano odprtino komplet z zatesnitvijo stikov.</t>
  </si>
  <si>
    <t>Komplet preizkus kanalizacije in jaškov za propustnost, funkcionalnost in vodotesnost (v skladu z zakonom in veljavnimi predpisi SIST EN 1610)</t>
  </si>
  <si>
    <t>Izdelava komplet PID dokumentacije skladno s Pravilnikom o podrobnejši vsebini dokumentacije in obrazcih povezanih z graditvijo objektov (Ur.l. RS, št. 36/18) - 3 izvodi.</t>
  </si>
  <si>
    <t>Zaščita horizontalne izolacije krovne plošče s stirodurom deb. 3 cm.</t>
  </si>
  <si>
    <t>Brežice, september 2019</t>
  </si>
  <si>
    <t>Strojno zasipavanje v coni cevovoda z nekoherentnim (gramoznim) materialom s peščenim materialom zrna 4-16mm, s komprimacijo bokov z lahkimi komprimacijskimi sredstvi (v plasteh po 20 cm), do 30 cm nad teme cevovoda do ustrezne zbitosti za zagotovitev nosilnosti po projektu</t>
  </si>
  <si>
    <t>Skupaj z DDV</t>
  </si>
  <si>
    <t xml:space="preserve">Popust </t>
  </si>
  <si>
    <t>Skupaj s popustom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</si>
</sst>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\ _S_I_T_-;\-* #,##0\ _S_I_T_-;_-* &quot;-&quot;\ _S_I_T_-;_-@_-"/>
    <numFmt numFmtId="165" formatCode="_-* #,##0.00\ _S_I_T_-;\-* #,##0.00\ _S_I_T_-;_-* &quot;-&quot;??\ _S_I_T_-;_-@_-"/>
    <numFmt numFmtId="166" formatCode="General_)"/>
    <numFmt numFmtId="167" formatCode="0.00_)"/>
    <numFmt numFmtId="168" formatCode="0.0"/>
    <numFmt numFmtId="169" formatCode="#,##0.00\ [$€-1]"/>
    <numFmt numFmtId="170" formatCode="#,##0.00\ _€"/>
  </numFmts>
  <fonts count="10" x14ac:knownFonts="1">
    <font>
      <sz val="10"/>
      <name val="Courier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10"/>
      <name val="Arial"/>
      <family val="2"/>
      <charset val="238"/>
    </font>
    <font>
      <b/>
      <u/>
      <sz val="11"/>
      <name val="Arial"/>
      <family val="2"/>
      <charset val="238"/>
    </font>
    <font>
      <u/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1" fontId="0" fillId="0" borderId="0"/>
    <xf numFmtId="0" fontId="9" fillId="2" borderId="16" applyNumberFormat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4">
    <xf numFmtId="1" fontId="0" fillId="0" borderId="0" xfId="0"/>
    <xf numFmtId="1" fontId="3" fillId="0" borderId="0" xfId="0" applyFont="1" applyAlignment="1" applyProtection="1">
      <alignment horizontal="left"/>
    </xf>
    <xf numFmtId="1" fontId="3" fillId="0" borderId="0" xfId="0" applyFont="1"/>
    <xf numFmtId="166" fontId="3" fillId="0" borderId="0" xfId="0" applyNumberFormat="1" applyFont="1" applyProtection="1"/>
    <xf numFmtId="3" fontId="3" fillId="0" borderId="0" xfId="0" applyNumberFormat="1" applyFont="1"/>
    <xf numFmtId="1" fontId="3" fillId="0" borderId="0" xfId="0" applyFont="1" applyAlignment="1">
      <alignment horizontal="left"/>
    </xf>
    <xf numFmtId="1" fontId="3" fillId="0" borderId="0" xfId="0" applyFont="1" applyAlignment="1"/>
    <xf numFmtId="1" fontId="4" fillId="0" borderId="0" xfId="0" applyFont="1" applyAlignment="1">
      <alignment horizontal="left"/>
    </xf>
    <xf numFmtId="1" fontId="4" fillId="0" borderId="0" xfId="0" applyFont="1" applyBorder="1" applyAlignment="1" applyProtection="1">
      <alignment horizontal="left" vertical="center"/>
    </xf>
    <xf numFmtId="1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" fontId="4" fillId="0" borderId="1" xfId="0" applyFont="1" applyBorder="1" applyAlignment="1" applyProtection="1">
      <alignment horizontal="left" vertical="center"/>
    </xf>
    <xf numFmtId="1" fontId="3" fillId="0" borderId="2" xfId="0" applyFont="1" applyBorder="1" applyAlignment="1">
      <alignment horizontal="center" vertical="center"/>
    </xf>
    <xf numFmtId="1" fontId="3" fillId="0" borderId="4" xfId="0" applyFont="1" applyBorder="1" applyAlignment="1">
      <alignment horizontal="center"/>
    </xf>
    <xf numFmtId="1" fontId="6" fillId="0" borderId="5" xfId="0" applyFont="1" applyBorder="1" applyAlignment="1" applyProtection="1">
      <alignment horizontal="left"/>
    </xf>
    <xf numFmtId="1" fontId="7" fillId="0" borderId="0" xfId="0" applyFont="1"/>
    <xf numFmtId="3" fontId="7" fillId="0" borderId="0" xfId="0" applyNumberFormat="1" applyFont="1"/>
    <xf numFmtId="1" fontId="3" fillId="0" borderId="5" xfId="0" applyNumberFormat="1" applyFont="1" applyBorder="1" applyAlignment="1" applyProtection="1">
      <alignment horizontal="center"/>
    </xf>
    <xf numFmtId="1" fontId="3" fillId="0" borderId="5" xfId="0" applyFont="1" applyBorder="1" applyAlignment="1">
      <alignment wrapText="1"/>
    </xf>
    <xf numFmtId="1" fontId="3" fillId="0" borderId="5" xfId="0" applyNumberFormat="1" applyFont="1" applyBorder="1" applyAlignment="1">
      <alignment horizontal="center" vertical="top"/>
    </xf>
    <xf numFmtId="1" fontId="3" fillId="0" borderId="5" xfId="0" applyFont="1" applyBorder="1" applyAlignment="1" applyProtection="1">
      <alignment horizontal="left" vertical="top" wrapText="1"/>
    </xf>
    <xf numFmtId="1" fontId="3" fillId="0" borderId="0" xfId="0" applyFont="1" applyBorder="1"/>
    <xf numFmtId="3" fontId="3" fillId="0" borderId="0" xfId="0" applyNumberFormat="1" applyFont="1" applyBorder="1"/>
    <xf numFmtId="1" fontId="3" fillId="0" borderId="0" xfId="0" applyNumberFormat="1" applyFont="1" applyBorder="1"/>
    <xf numFmtId="39" fontId="4" fillId="0" borderId="0" xfId="0" applyNumberFormat="1" applyFont="1" applyBorder="1" applyAlignment="1" applyProtection="1">
      <alignment horizontal="left"/>
    </xf>
    <xf numFmtId="1" fontId="3" fillId="0" borderId="5" xfId="0" applyFont="1" applyBorder="1" applyAlignment="1">
      <alignment vertical="top" wrapText="1"/>
    </xf>
    <xf numFmtId="165" fontId="3" fillId="0" borderId="0" xfId="3" applyNumberFormat="1" applyFont="1" applyBorder="1"/>
    <xf numFmtId="1" fontId="6" fillId="0" borderId="5" xfId="0" applyFont="1" applyBorder="1" applyAlignment="1">
      <alignment vertical="top"/>
    </xf>
    <xf numFmtId="1" fontId="3" fillId="0" borderId="5" xfId="0" applyFont="1" applyBorder="1" applyAlignment="1">
      <alignment horizontal="center" vertical="top"/>
    </xf>
    <xf numFmtId="2" fontId="3" fillId="0" borderId="0" xfId="0" applyNumberFormat="1" applyFont="1" applyBorder="1"/>
    <xf numFmtId="1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68" fontId="3" fillId="0" borderId="5" xfId="0" applyNumberFormat="1" applyFont="1" applyBorder="1" applyAlignment="1" applyProtection="1">
      <alignment horizontal="left" vertical="top" wrapText="1"/>
    </xf>
    <xf numFmtId="1" fontId="5" fillId="0" borderId="5" xfId="0" applyNumberFormat="1" applyFont="1" applyBorder="1" applyAlignment="1">
      <alignment horizontal="center" vertical="top"/>
    </xf>
    <xf numFmtId="1" fontId="5" fillId="0" borderId="5" xfId="0" applyFont="1" applyBorder="1" applyAlignment="1" applyProtection="1">
      <alignment horizontal="left" vertical="top" wrapText="1"/>
    </xf>
    <xf numFmtId="165" fontId="3" fillId="0" borderId="0" xfId="3" applyNumberFormat="1" applyFont="1" applyFill="1" applyBorder="1"/>
    <xf numFmtId="1" fontId="4" fillId="0" borderId="5" xfId="0" applyFont="1" applyBorder="1" applyAlignment="1">
      <alignment horizontal="left" vertical="top"/>
    </xf>
    <xf numFmtId="1" fontId="5" fillId="0" borderId="5" xfId="0" applyFont="1" applyBorder="1" applyAlignment="1">
      <alignment horizontal="center" vertical="top"/>
    </xf>
    <xf numFmtId="1" fontId="5" fillId="0" borderId="5" xfId="0" applyFont="1" applyBorder="1" applyAlignment="1">
      <alignment vertical="top" wrapText="1"/>
    </xf>
    <xf numFmtId="1" fontId="7" fillId="0" borderId="0" xfId="0" applyFont="1" applyBorder="1"/>
    <xf numFmtId="1" fontId="3" fillId="0" borderId="0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Font="1" applyAlignment="1">
      <alignment horizontal="center"/>
    </xf>
    <xf numFmtId="1" fontId="3" fillId="0" borderId="5" xfId="0" applyFont="1" applyFill="1" applyBorder="1" applyAlignment="1">
      <alignment horizontal="left" vertical="top" wrapText="1"/>
    </xf>
    <xf numFmtId="1" fontId="8" fillId="0" borderId="5" xfId="0" applyFont="1" applyFill="1" applyBorder="1" applyAlignment="1">
      <alignment vertical="top" wrapText="1"/>
    </xf>
    <xf numFmtId="1" fontId="3" fillId="0" borderId="6" xfId="0" applyNumberFormat="1" applyFont="1" applyBorder="1" applyAlignment="1">
      <alignment horizontal="center" vertical="top"/>
    </xf>
    <xf numFmtId="1" fontId="3" fillId="0" borderId="6" xfId="0" applyFont="1" applyBorder="1" applyAlignment="1" applyProtection="1">
      <alignment horizontal="left" vertical="top" wrapText="1"/>
    </xf>
    <xf numFmtId="1" fontId="3" fillId="0" borderId="6" xfId="0" applyFont="1" applyBorder="1" applyAlignment="1">
      <alignment horizontal="center" vertical="top"/>
    </xf>
    <xf numFmtId="1" fontId="3" fillId="0" borderId="6" xfId="0" applyFont="1" applyBorder="1" applyAlignment="1">
      <alignment vertical="top" wrapText="1"/>
    </xf>
    <xf numFmtId="1" fontId="3" fillId="0" borderId="0" xfId="0" applyFont="1" applyBorder="1" applyAlignment="1">
      <alignment vertical="top" wrapText="1"/>
    </xf>
    <xf numFmtId="1" fontId="3" fillId="0" borderId="8" xfId="0" applyFont="1" applyBorder="1" applyAlignment="1">
      <alignment vertical="top" wrapText="1"/>
    </xf>
    <xf numFmtId="1" fontId="3" fillId="0" borderId="0" xfId="0" applyFont="1" applyAlignment="1">
      <alignment vertical="top" wrapText="1"/>
    </xf>
    <xf numFmtId="1" fontId="3" fillId="0" borderId="0" xfId="0" applyFont="1" applyAlignment="1" applyProtection="1">
      <alignment horizontal="left" vertical="top" wrapText="1"/>
    </xf>
    <xf numFmtId="1" fontId="3" fillId="0" borderId="0" xfId="0" applyFont="1" applyAlignment="1" applyProtection="1">
      <alignment horizontal="left" vertical="top"/>
    </xf>
    <xf numFmtId="1" fontId="3" fillId="0" borderId="0" xfId="0" applyFont="1" applyAlignment="1">
      <alignment vertical="top"/>
    </xf>
    <xf numFmtId="1" fontId="4" fillId="0" borderId="0" xfId="0" applyFont="1" applyAlignment="1">
      <alignment vertical="top" wrapText="1"/>
    </xf>
    <xf numFmtId="1" fontId="4" fillId="0" borderId="0" xfId="0" applyFont="1" applyBorder="1" applyAlignment="1">
      <alignment vertical="top" wrapText="1"/>
    </xf>
    <xf numFmtId="1" fontId="4" fillId="0" borderId="1" xfId="0" applyFont="1" applyBorder="1" applyAlignment="1">
      <alignment vertical="top" wrapText="1"/>
    </xf>
    <xf numFmtId="1" fontId="3" fillId="0" borderId="4" xfId="0" applyFont="1" applyBorder="1" applyAlignment="1">
      <alignment vertical="top" wrapText="1"/>
    </xf>
    <xf numFmtId="1" fontId="7" fillId="0" borderId="5" xfId="0" applyFont="1" applyBorder="1" applyAlignment="1">
      <alignment vertical="top" wrapText="1"/>
    </xf>
    <xf numFmtId="1" fontId="3" fillId="0" borderId="5" xfId="0" applyFont="1" applyBorder="1" applyAlignment="1">
      <alignment horizontal="justify" vertical="top" wrapText="1"/>
    </xf>
    <xf numFmtId="1" fontId="3" fillId="0" borderId="6" xfId="0" applyFont="1" applyBorder="1" applyAlignment="1">
      <alignment horizontal="justify" vertical="top" wrapText="1"/>
    </xf>
    <xf numFmtId="1" fontId="3" fillId="0" borderId="5" xfId="0" applyFont="1" applyFill="1" applyBorder="1" applyAlignment="1">
      <alignment horizontal="justify" vertical="top" wrapText="1"/>
    </xf>
    <xf numFmtId="1" fontId="4" fillId="0" borderId="0" xfId="0" applyFont="1" applyAlignment="1" applyProtection="1">
      <alignment horizontal="left" vertical="center" wrapText="1"/>
    </xf>
    <xf numFmtId="1" fontId="3" fillId="0" borderId="3" xfId="0" applyFont="1" applyBorder="1" applyAlignment="1">
      <alignment horizontal="center" vertical="center" wrapText="1"/>
    </xf>
    <xf numFmtId="11" fontId="3" fillId="0" borderId="2" xfId="0" applyNumberFormat="1" applyFont="1" applyBorder="1" applyAlignment="1">
      <alignment horizontal="center" vertical="center"/>
    </xf>
    <xf numFmtId="1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" fontId="3" fillId="0" borderId="5" xfId="0" applyNumberFormat="1" applyFont="1" applyBorder="1" applyAlignment="1" applyProtection="1">
      <alignment horizontal="center" vertical="top"/>
    </xf>
    <xf numFmtId="1" fontId="4" fillId="0" borderId="0" xfId="0" applyFont="1" applyAlignment="1"/>
    <xf numFmtId="1" fontId="4" fillId="0" borderId="0" xfId="0" applyFont="1" applyBorder="1" applyAlignment="1"/>
    <xf numFmtId="1" fontId="4" fillId="0" borderId="1" xfId="0" applyFont="1" applyBorder="1" applyAlignment="1"/>
    <xf numFmtId="1" fontId="3" fillId="0" borderId="4" xfId="0" applyFont="1" applyBorder="1" applyAlignment="1"/>
    <xf numFmtId="1" fontId="7" fillId="0" borderId="5" xfId="0" applyFont="1" applyBorder="1" applyAlignment="1"/>
    <xf numFmtId="1" fontId="3" fillId="0" borderId="5" xfId="0" applyFont="1" applyBorder="1" applyAlignment="1"/>
    <xf numFmtId="1" fontId="3" fillId="0" borderId="5" xfId="0" applyFont="1" applyBorder="1" applyAlignment="1" applyProtection="1">
      <alignment horizontal="left" wrapText="1"/>
    </xf>
    <xf numFmtId="167" fontId="3" fillId="0" borderId="5" xfId="0" applyNumberFormat="1" applyFont="1" applyBorder="1" applyAlignment="1" applyProtection="1"/>
    <xf numFmtId="1" fontId="3" fillId="0" borderId="5" xfId="0" applyFont="1" applyBorder="1" applyAlignment="1">
      <alignment horizontal="left"/>
    </xf>
    <xf numFmtId="1" fontId="3" fillId="0" borderId="6" xfId="0" applyFont="1" applyBorder="1" applyAlignment="1">
      <alignment horizontal="left"/>
    </xf>
    <xf numFmtId="2" fontId="3" fillId="0" borderId="5" xfId="0" applyNumberFormat="1" applyFont="1" applyBorder="1" applyAlignment="1" applyProtection="1"/>
    <xf numFmtId="168" fontId="3" fillId="0" borderId="5" xfId="0" applyNumberFormat="1" applyFont="1" applyBorder="1" applyAlignment="1" applyProtection="1"/>
    <xf numFmtId="1" fontId="3" fillId="0" borderId="6" xfId="0" applyFont="1" applyBorder="1" applyAlignment="1" applyProtection="1">
      <alignment horizontal="left" wrapText="1"/>
    </xf>
    <xf numFmtId="1" fontId="3" fillId="0" borderId="1" xfId="0" applyFont="1" applyBorder="1" applyAlignment="1"/>
    <xf numFmtId="1" fontId="3" fillId="0" borderId="0" xfId="0" applyFont="1" applyBorder="1" applyAlignment="1"/>
    <xf numFmtId="1" fontId="3" fillId="0" borderId="6" xfId="0" applyFont="1" applyFill="1" applyBorder="1" applyAlignment="1">
      <alignment horizontal="left"/>
    </xf>
    <xf numFmtId="2" fontId="3" fillId="0" borderId="5" xfId="0" applyNumberFormat="1" applyFont="1" applyBorder="1" applyAlignment="1"/>
    <xf numFmtId="2" fontId="3" fillId="0" borderId="5" xfId="0" applyNumberFormat="1" applyFont="1" applyFill="1" applyBorder="1" applyAlignment="1" applyProtection="1"/>
    <xf numFmtId="168" fontId="5" fillId="0" borderId="5" xfId="0" applyNumberFormat="1" applyFont="1" applyFill="1" applyBorder="1" applyAlignment="1" applyProtection="1"/>
    <xf numFmtId="1" fontId="3" fillId="0" borderId="6" xfId="0" applyFont="1" applyBorder="1" applyAlignment="1">
      <alignment wrapText="1"/>
    </xf>
    <xf numFmtId="1" fontId="5" fillId="0" borderId="5" xfId="0" applyFont="1" applyBorder="1" applyAlignment="1">
      <alignment wrapText="1"/>
    </xf>
    <xf numFmtId="1" fontId="5" fillId="0" borderId="5" xfId="0" applyFont="1" applyBorder="1" applyAlignment="1"/>
    <xf numFmtId="165" fontId="3" fillId="0" borderId="5" xfId="2" applyFont="1" applyBorder="1" applyAlignment="1" applyProtection="1"/>
    <xf numFmtId="165" fontId="3" fillId="0" borderId="6" xfId="2" applyFont="1" applyBorder="1" applyAlignment="1" applyProtection="1"/>
    <xf numFmtId="169" fontId="3" fillId="0" borderId="0" xfId="0" applyNumberFormat="1" applyFont="1" applyAlignment="1"/>
    <xf numFmtId="169" fontId="4" fillId="0" borderId="0" xfId="0" applyNumberFormat="1" applyFont="1" applyAlignment="1"/>
    <xf numFmtId="169" fontId="4" fillId="0" borderId="0" xfId="3" applyNumberFormat="1" applyFont="1" applyBorder="1" applyAlignment="1"/>
    <xf numFmtId="169" fontId="4" fillId="0" borderId="0" xfId="3" applyNumberFormat="1" applyFont="1" applyBorder="1" applyAlignment="1">
      <alignment horizontal="center"/>
    </xf>
    <xf numFmtId="169" fontId="4" fillId="0" borderId="1" xfId="3" applyNumberFormat="1" applyFont="1" applyBorder="1" applyAlignment="1"/>
    <xf numFmtId="169" fontId="4" fillId="0" borderId="1" xfId="3" applyNumberFormat="1" applyFont="1" applyBorder="1" applyAlignment="1">
      <alignment horizontal="center"/>
    </xf>
    <xf numFmtId="169" fontId="4" fillId="0" borderId="9" xfId="3" applyNumberFormat="1" applyFont="1" applyBorder="1" applyAlignment="1"/>
    <xf numFmtId="169" fontId="4" fillId="0" borderId="13" xfId="3" applyNumberFormat="1" applyFont="1" applyBorder="1" applyAlignment="1">
      <alignment horizontal="center"/>
    </xf>
    <xf numFmtId="169" fontId="4" fillId="0" borderId="10" xfId="3" quotePrefix="1" applyNumberFormat="1" applyFont="1" applyBorder="1" applyAlignment="1"/>
    <xf numFmtId="169" fontId="4" fillId="0" borderId="14" xfId="3" applyNumberFormat="1" applyFont="1" applyBorder="1" applyAlignment="1">
      <alignment horizontal="center"/>
    </xf>
    <xf numFmtId="169" fontId="4" fillId="0" borderId="11" xfId="3" applyNumberFormat="1" applyFont="1" applyBorder="1" applyAlignment="1"/>
    <xf numFmtId="169" fontId="4" fillId="0" borderId="15" xfId="3" applyNumberFormat="1" applyFont="1" applyBorder="1" applyAlignment="1">
      <alignment horizontal="center"/>
    </xf>
    <xf numFmtId="169" fontId="5" fillId="0" borderId="0" xfId="0" applyNumberFormat="1" applyFont="1" applyAlignment="1"/>
    <xf numFmtId="169" fontId="3" fillId="0" borderId="2" xfId="0" applyNumberFormat="1" applyFont="1" applyBorder="1" applyAlignment="1">
      <alignment horizontal="center" vertical="center"/>
    </xf>
    <xf numFmtId="169" fontId="3" fillId="0" borderId="4" xfId="0" applyNumberFormat="1" applyFont="1" applyBorder="1" applyAlignment="1"/>
    <xf numFmtId="169" fontId="3" fillId="0" borderId="5" xfId="3" applyNumberFormat="1" applyFont="1" applyBorder="1" applyAlignment="1"/>
    <xf numFmtId="169" fontId="3" fillId="0" borderId="5" xfId="3" applyNumberFormat="1" applyFont="1" applyBorder="1" applyAlignment="1">
      <alignment horizontal="right"/>
    </xf>
    <xf numFmtId="169" fontId="3" fillId="0" borderId="6" xfId="3" applyNumberFormat="1" applyFont="1" applyBorder="1" applyAlignment="1"/>
    <xf numFmtId="169" fontId="3" fillId="0" borderId="5" xfId="3" applyNumberFormat="1" applyFont="1" applyBorder="1" applyAlignment="1">
      <alignment horizontal="center"/>
    </xf>
    <xf numFmtId="169" fontId="5" fillId="0" borderId="5" xfId="3" applyNumberFormat="1" applyFont="1" applyBorder="1" applyAlignment="1"/>
    <xf numFmtId="169" fontId="3" fillId="0" borderId="0" xfId="3" applyNumberFormat="1" applyFont="1" applyAlignment="1"/>
    <xf numFmtId="170" fontId="3" fillId="0" borderId="5" xfId="0" applyNumberFormat="1" applyFont="1" applyBorder="1" applyAlignment="1" applyProtection="1">
      <alignment horizontal="right"/>
    </xf>
    <xf numFmtId="170" fontId="3" fillId="0" borderId="5" xfId="3" applyNumberFormat="1" applyFont="1" applyBorder="1" applyAlignment="1">
      <alignment horizontal="right"/>
    </xf>
    <xf numFmtId="170" fontId="3" fillId="0" borderId="5" xfId="0" applyNumberFormat="1" applyFont="1" applyFill="1" applyBorder="1" applyAlignment="1">
      <alignment horizontal="right"/>
    </xf>
    <xf numFmtId="170" fontId="2" fillId="0" borderId="6" xfId="0" applyNumberFormat="1" applyFont="1" applyFill="1" applyBorder="1" applyAlignment="1">
      <alignment horizontal="right"/>
    </xf>
    <xf numFmtId="170" fontId="3" fillId="0" borderId="0" xfId="0" applyNumberFormat="1" applyFont="1" applyAlignment="1">
      <alignment horizontal="right"/>
    </xf>
    <xf numFmtId="170" fontId="4" fillId="0" borderId="0" xfId="0" applyNumberFormat="1" applyFont="1" applyAlignment="1">
      <alignment horizontal="right"/>
    </xf>
    <xf numFmtId="170" fontId="4" fillId="0" borderId="0" xfId="0" applyNumberFormat="1" applyFont="1" applyBorder="1" applyAlignment="1">
      <alignment horizontal="right"/>
    </xf>
    <xf numFmtId="170" fontId="4" fillId="0" borderId="1" xfId="0" applyNumberFormat="1" applyFont="1" applyBorder="1" applyAlignment="1">
      <alignment horizontal="right"/>
    </xf>
    <xf numFmtId="170" fontId="3" fillId="0" borderId="3" xfId="0" applyNumberFormat="1" applyFont="1" applyBorder="1" applyAlignment="1">
      <alignment horizontal="right" vertical="center"/>
    </xf>
    <xf numFmtId="170" fontId="3" fillId="0" borderId="4" xfId="0" applyNumberFormat="1" applyFont="1" applyBorder="1" applyAlignment="1">
      <alignment horizontal="right"/>
    </xf>
    <xf numFmtId="170" fontId="7" fillId="0" borderId="5" xfId="0" applyNumberFormat="1" applyFont="1" applyBorder="1" applyAlignment="1">
      <alignment horizontal="right"/>
    </xf>
    <xf numFmtId="170" fontId="3" fillId="0" borderId="5" xfId="0" applyNumberFormat="1" applyFont="1" applyBorder="1" applyAlignment="1">
      <alignment horizontal="right"/>
    </xf>
    <xf numFmtId="170" fontId="3" fillId="0" borderId="0" xfId="0" applyNumberFormat="1" applyFont="1" applyAlignment="1" applyProtection="1">
      <alignment horizontal="right"/>
    </xf>
    <xf numFmtId="170" fontId="3" fillId="0" borderId="0" xfId="0" applyNumberFormat="1" applyFont="1" applyBorder="1" applyAlignment="1">
      <alignment horizontal="right"/>
    </xf>
    <xf numFmtId="170" fontId="9" fillId="0" borderId="17" xfId="1" applyNumberFormat="1" applyFill="1" applyBorder="1" applyAlignment="1">
      <alignment horizontal="right"/>
    </xf>
    <xf numFmtId="170" fontId="3" fillId="0" borderId="5" xfId="0" applyNumberFormat="1" applyFont="1" applyFill="1" applyBorder="1" applyAlignment="1" applyProtection="1">
      <alignment horizontal="right"/>
    </xf>
    <xf numFmtId="170" fontId="3" fillId="0" borderId="5" xfId="3" applyNumberFormat="1" applyFont="1" applyFill="1" applyBorder="1" applyAlignment="1">
      <alignment horizontal="right"/>
    </xf>
    <xf numFmtId="170" fontId="3" fillId="0" borderId="6" xfId="0" applyNumberFormat="1" applyFont="1" applyBorder="1" applyAlignment="1" applyProtection="1">
      <alignment horizontal="right"/>
    </xf>
    <xf numFmtId="170" fontId="3" fillId="0" borderId="0" xfId="0" applyNumberFormat="1" applyFont="1" applyBorder="1" applyAlignment="1" applyProtection="1">
      <alignment horizontal="right" wrapText="1"/>
    </xf>
    <xf numFmtId="170" fontId="3" fillId="0" borderId="6" xfId="0" applyNumberFormat="1" applyFont="1" applyBorder="1" applyAlignment="1">
      <alignment horizontal="right"/>
    </xf>
    <xf numFmtId="170" fontId="2" fillId="0" borderId="7" xfId="0" applyNumberFormat="1" applyFont="1" applyFill="1" applyBorder="1" applyAlignment="1">
      <alignment horizontal="right"/>
    </xf>
    <xf numFmtId="170" fontId="3" fillId="0" borderId="0" xfId="0" applyNumberFormat="1" applyFont="1" applyBorder="1" applyAlignment="1">
      <alignment horizontal="right" wrapText="1"/>
    </xf>
    <xf numFmtId="170" fontId="5" fillId="0" borderId="5" xfId="3" applyNumberFormat="1" applyFont="1" applyBorder="1" applyAlignment="1">
      <alignment horizontal="right"/>
    </xf>
    <xf numFmtId="170" fontId="5" fillId="0" borderId="0" xfId="0" applyNumberFormat="1" applyFont="1" applyBorder="1" applyAlignment="1">
      <alignment horizontal="right" wrapText="1"/>
    </xf>
    <xf numFmtId="170" fontId="3" fillId="0" borderId="0" xfId="0" applyNumberFormat="1" applyFont="1" applyBorder="1" applyAlignment="1" applyProtection="1">
      <alignment horizontal="right"/>
    </xf>
    <xf numFmtId="170" fontId="3" fillId="0" borderId="5" xfId="2" applyNumberFormat="1" applyFont="1" applyBorder="1" applyAlignment="1" applyProtection="1">
      <alignment horizontal="right"/>
    </xf>
    <xf numFmtId="170" fontId="3" fillId="0" borderId="6" xfId="3" applyNumberFormat="1" applyFont="1" applyBorder="1" applyAlignment="1">
      <alignment horizontal="right"/>
    </xf>
    <xf numFmtId="170" fontId="4" fillId="0" borderId="0" xfId="0" applyNumberFormat="1" applyFont="1" applyBorder="1" applyAlignment="1" applyProtection="1">
      <alignment horizontal="right"/>
    </xf>
    <xf numFmtId="169" fontId="4" fillId="0" borderId="18" xfId="3" applyNumberFormat="1" applyFont="1" applyBorder="1" applyAlignment="1"/>
    <xf numFmtId="169" fontId="4" fillId="0" borderId="5" xfId="3" applyNumberFormat="1" applyFont="1" applyBorder="1" applyAlignment="1">
      <alignment horizontal="center"/>
    </xf>
    <xf numFmtId="169" fontId="4" fillId="0" borderId="19" xfId="3" quotePrefix="1" applyNumberFormat="1" applyFont="1" applyBorder="1" applyAlignment="1"/>
    <xf numFmtId="10" fontId="3" fillId="3" borderId="0" xfId="0" applyNumberFormat="1" applyFont="1" applyFill="1" applyAlignment="1" applyProtection="1">
      <alignment vertical="center"/>
      <protection locked="0"/>
    </xf>
    <xf numFmtId="169" fontId="3" fillId="0" borderId="3" xfId="0" applyNumberFormat="1" applyFont="1" applyBorder="1" applyAlignment="1" applyProtection="1">
      <alignment horizontal="center" vertical="center"/>
      <protection locked="0"/>
    </xf>
    <xf numFmtId="169" fontId="3" fillId="0" borderId="4" xfId="0" applyNumberFormat="1" applyFont="1" applyBorder="1" applyAlignment="1" applyProtection="1">
      <protection locked="0"/>
    </xf>
    <xf numFmtId="169" fontId="3" fillId="0" borderId="5" xfId="3" applyNumberFormat="1" applyFont="1" applyBorder="1" applyAlignment="1" applyProtection="1">
      <protection locked="0"/>
    </xf>
    <xf numFmtId="169" fontId="3" fillId="0" borderId="5" xfId="3" applyNumberFormat="1" applyFont="1" applyBorder="1" applyAlignment="1" applyProtection="1">
      <alignment horizontal="right"/>
      <protection locked="0"/>
    </xf>
    <xf numFmtId="169" fontId="3" fillId="0" borderId="0" xfId="0" applyNumberFormat="1" applyFont="1" applyBorder="1" applyAlignment="1" applyProtection="1">
      <protection locked="0"/>
    </xf>
    <xf numFmtId="169" fontId="3" fillId="0" borderId="12" xfId="0" applyNumberFormat="1" applyFont="1" applyBorder="1" applyAlignment="1" applyProtection="1">
      <protection locked="0"/>
    </xf>
    <xf numFmtId="169" fontId="4" fillId="0" borderId="0" xfId="0" applyNumberFormat="1" applyFont="1" applyBorder="1" applyAlignment="1" applyProtection="1">
      <alignment horizontal="left"/>
      <protection locked="0"/>
    </xf>
    <xf numFmtId="169" fontId="4" fillId="0" borderId="5" xfId="3" applyNumberFormat="1" applyFont="1" applyBorder="1" applyAlignment="1" applyProtection="1">
      <protection locked="0"/>
    </xf>
  </cellXfs>
  <cellStyles count="4">
    <cellStyle name="Izhod" xfId="1" builtinId="21"/>
    <cellStyle name="Navadno" xfId="0" builtinId="0"/>
    <cellStyle name="Vejica" xfId="2" builtinId="3"/>
    <cellStyle name="Vejica [0]" xfId="3" builtinId="6"/>
  </cellStyles>
  <dxfs count="5"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50" transitionEvaluation="1"/>
  <dimension ref="A1:X228"/>
  <sheetViews>
    <sheetView tabSelected="1" view="pageBreakPreview" topLeftCell="A50" zoomScaleNormal="100" zoomScaleSheetLayoutView="100" workbookViewId="0">
      <selection activeCell="E56" sqref="E56"/>
    </sheetView>
  </sheetViews>
  <sheetFormatPr defaultColWidth="9.75" defaultRowHeight="14.25" x14ac:dyDescent="0.2"/>
  <cols>
    <col min="1" max="1" width="5" style="42" customWidth="1"/>
    <col min="2" max="2" width="38.75" style="51" customWidth="1"/>
    <col min="3" max="3" width="10.125" style="6" customWidth="1"/>
    <col min="4" max="4" width="11.5" style="118" customWidth="1"/>
    <col min="5" max="5" width="12.875" style="93" customWidth="1"/>
    <col min="6" max="6" width="16.125" style="93" customWidth="1"/>
    <col min="7" max="7" width="12.5" style="2" customWidth="1"/>
    <col min="8" max="8" width="9.875" style="2" customWidth="1"/>
    <col min="9" max="9" width="12.75" style="2" customWidth="1"/>
    <col min="10" max="11" width="9.75" style="2" customWidth="1"/>
    <col min="12" max="12" width="12.25" style="2" customWidth="1"/>
    <col min="13" max="13" width="10.25" style="2" customWidth="1"/>
    <col min="14" max="14" width="13.75" style="2" customWidth="1"/>
    <col min="15" max="15" width="12.5" style="2" customWidth="1"/>
    <col min="16" max="21" width="9.75" style="2" customWidth="1"/>
    <col min="22" max="22" width="14.75" style="2" customWidth="1"/>
    <col min="23" max="23" width="9.75" style="2" customWidth="1"/>
    <col min="24" max="24" width="9.75" style="4"/>
    <col min="25" max="16384" width="9.75" style="2"/>
  </cols>
  <sheetData>
    <row r="1" spans="1:8" ht="16.899999999999999" customHeight="1" x14ac:dyDescent="0.2">
      <c r="A1" s="1" t="s">
        <v>104</v>
      </c>
      <c r="G1" s="1"/>
      <c r="H1" s="3"/>
    </row>
    <row r="2" spans="1:8" ht="16.899999999999999" customHeight="1" x14ac:dyDescent="0.2">
      <c r="A2" s="1" t="s">
        <v>105</v>
      </c>
    </row>
    <row r="3" spans="1:8" x14ac:dyDescent="0.2">
      <c r="A3" s="5"/>
    </row>
    <row r="4" spans="1:8" x14ac:dyDescent="0.2">
      <c r="A4" s="5"/>
    </row>
    <row r="5" spans="1:8" x14ac:dyDescent="0.2">
      <c r="A5" s="5"/>
    </row>
    <row r="6" spans="1:8" x14ac:dyDescent="0.2">
      <c r="A6" s="5"/>
    </row>
    <row r="7" spans="1:8" x14ac:dyDescent="0.2">
      <c r="A7" s="1" t="s">
        <v>1</v>
      </c>
    </row>
    <row r="8" spans="1:8" x14ac:dyDescent="0.2">
      <c r="A8" s="5"/>
      <c r="B8" s="52" t="s">
        <v>2</v>
      </c>
    </row>
    <row r="9" spans="1:8" x14ac:dyDescent="0.2">
      <c r="A9" s="5"/>
      <c r="B9" s="53" t="s">
        <v>3</v>
      </c>
    </row>
    <row r="10" spans="1:8" x14ac:dyDescent="0.2">
      <c r="A10" s="1" t="s">
        <v>1</v>
      </c>
    </row>
    <row r="11" spans="1:8" x14ac:dyDescent="0.2">
      <c r="A11" s="5"/>
    </row>
    <row r="12" spans="1:8" x14ac:dyDescent="0.2">
      <c r="A12" s="5"/>
    </row>
    <row r="13" spans="1:8" x14ac:dyDescent="0.2">
      <c r="A13" s="5"/>
    </row>
    <row r="14" spans="1:8" x14ac:dyDescent="0.2">
      <c r="A14" s="5"/>
      <c r="B14" s="52"/>
    </row>
    <row r="15" spans="1:8" ht="48.75" customHeight="1" x14ac:dyDescent="0.2">
      <c r="A15" s="5"/>
      <c r="B15" s="51" t="s">
        <v>106</v>
      </c>
    </row>
    <row r="16" spans="1:8" ht="17.25" customHeight="1" x14ac:dyDescent="0.2">
      <c r="A16" s="5"/>
      <c r="B16" s="54" t="s">
        <v>4</v>
      </c>
    </row>
    <row r="17" spans="1:24" ht="17.25" customHeight="1" x14ac:dyDescent="0.2">
      <c r="A17" s="5"/>
      <c r="B17" s="54" t="s">
        <v>18</v>
      </c>
    </row>
    <row r="18" spans="1:24" ht="17.25" customHeight="1" x14ac:dyDescent="0.2">
      <c r="A18" s="5"/>
      <c r="B18" s="54" t="s">
        <v>17</v>
      </c>
    </row>
    <row r="19" spans="1:24" x14ac:dyDescent="0.2">
      <c r="A19" s="5"/>
    </row>
    <row r="20" spans="1:24" x14ac:dyDescent="0.2">
      <c r="A20" s="5"/>
    </row>
    <row r="21" spans="1:24" ht="15" x14ac:dyDescent="0.25">
      <c r="A21" s="7"/>
      <c r="B21" s="55"/>
      <c r="C21" s="69"/>
      <c r="D21" s="119"/>
      <c r="E21" s="94"/>
      <c r="F21" s="94"/>
    </row>
    <row r="22" spans="1:24" ht="30" x14ac:dyDescent="0.25">
      <c r="A22" s="7"/>
      <c r="B22" s="63" t="s">
        <v>54</v>
      </c>
      <c r="C22" s="69"/>
      <c r="D22" s="119"/>
      <c r="E22" s="94"/>
      <c r="F22" s="94"/>
    </row>
    <row r="23" spans="1:24" ht="15" x14ac:dyDescent="0.25">
      <c r="A23" s="7"/>
      <c r="B23" s="55" t="s">
        <v>5</v>
      </c>
      <c r="C23" s="69"/>
      <c r="D23" s="119"/>
      <c r="E23" s="94"/>
      <c r="F23" s="94"/>
    </row>
    <row r="24" spans="1:24" ht="15" x14ac:dyDescent="0.25">
      <c r="A24" s="7"/>
      <c r="B24" s="55"/>
      <c r="C24" s="69"/>
      <c r="D24" s="119"/>
      <c r="E24" s="94"/>
      <c r="F24" s="94"/>
    </row>
    <row r="25" spans="1:24" s="9" customFormat="1" ht="18" customHeight="1" x14ac:dyDescent="0.25">
      <c r="A25" s="8" t="s">
        <v>25</v>
      </c>
      <c r="B25" s="56"/>
      <c r="C25" s="70"/>
      <c r="D25" s="120"/>
      <c r="E25" s="95"/>
      <c r="F25" s="96">
        <f>F75</f>
        <v>0</v>
      </c>
      <c r="X25" s="10"/>
    </row>
    <row r="26" spans="1:24" s="9" customFormat="1" ht="18" customHeight="1" x14ac:dyDescent="0.25">
      <c r="A26" s="8" t="s">
        <v>20</v>
      </c>
      <c r="B26" s="56"/>
      <c r="C26" s="70"/>
      <c r="D26" s="120"/>
      <c r="E26" s="95"/>
      <c r="F26" s="96">
        <f>F118</f>
        <v>0</v>
      </c>
      <c r="X26" s="10"/>
    </row>
    <row r="27" spans="1:24" s="9" customFormat="1" ht="18" customHeight="1" x14ac:dyDescent="0.25">
      <c r="A27" s="8" t="s">
        <v>21</v>
      </c>
      <c r="B27" s="56"/>
      <c r="C27" s="70"/>
      <c r="D27" s="120"/>
      <c r="E27" s="95"/>
      <c r="F27" s="96">
        <f>F138</f>
        <v>0</v>
      </c>
      <c r="X27" s="10"/>
    </row>
    <row r="28" spans="1:24" s="9" customFormat="1" ht="18" customHeight="1" x14ac:dyDescent="0.25">
      <c r="A28" s="8" t="s">
        <v>22</v>
      </c>
      <c r="B28" s="56"/>
      <c r="C28" s="70"/>
      <c r="D28" s="120"/>
      <c r="E28" s="95"/>
      <c r="F28" s="96">
        <f>F159</f>
        <v>0</v>
      </c>
      <c r="X28" s="10"/>
    </row>
    <row r="29" spans="1:24" s="9" customFormat="1" ht="18" customHeight="1" x14ac:dyDescent="0.25">
      <c r="A29" s="8" t="s">
        <v>23</v>
      </c>
      <c r="B29" s="56"/>
      <c r="C29" s="70"/>
      <c r="D29" s="120"/>
      <c r="E29" s="95"/>
      <c r="F29" s="96">
        <f>F191</f>
        <v>0</v>
      </c>
      <c r="X29" s="10"/>
    </row>
    <row r="30" spans="1:24" s="9" customFormat="1" ht="18" customHeight="1" x14ac:dyDescent="0.25">
      <c r="A30" s="8" t="s">
        <v>26</v>
      </c>
      <c r="B30" s="56"/>
      <c r="C30" s="70"/>
      <c r="D30" s="120"/>
      <c r="E30" s="95"/>
      <c r="F30" s="96">
        <f>F200</f>
        <v>0</v>
      </c>
      <c r="X30" s="10"/>
    </row>
    <row r="31" spans="1:24" s="9" customFormat="1" ht="18" customHeight="1" thickBot="1" x14ac:dyDescent="0.3">
      <c r="A31" s="11" t="s">
        <v>24</v>
      </c>
      <c r="B31" s="57"/>
      <c r="C31" s="71"/>
      <c r="D31" s="121"/>
      <c r="E31" s="97"/>
      <c r="F31" s="98">
        <f>F227</f>
        <v>0</v>
      </c>
      <c r="X31" s="10"/>
    </row>
    <row r="32" spans="1:24" s="9" customFormat="1" ht="18" customHeight="1" thickTop="1" x14ac:dyDescent="0.25">
      <c r="A32" s="8"/>
      <c r="B32" s="56"/>
      <c r="C32" s="70"/>
      <c r="D32" s="99"/>
      <c r="F32" s="100">
        <f>SUM(F25:F31)</f>
        <v>0</v>
      </c>
      <c r="X32" s="10"/>
    </row>
    <row r="33" spans="1:24" s="9" customFormat="1" ht="18" customHeight="1" x14ac:dyDescent="0.25">
      <c r="A33" s="8"/>
      <c r="B33" s="56"/>
      <c r="C33" s="70"/>
      <c r="D33" s="142" t="s">
        <v>131</v>
      </c>
      <c r="E33" s="145"/>
      <c r="F33" s="143">
        <f>-(F32*E33)</f>
        <v>0</v>
      </c>
      <c r="X33" s="10"/>
    </row>
    <row r="34" spans="1:24" s="9" customFormat="1" ht="18" customHeight="1" x14ac:dyDescent="0.25">
      <c r="A34" s="8"/>
      <c r="B34" s="56"/>
      <c r="C34" s="70"/>
      <c r="D34" s="142" t="s">
        <v>132</v>
      </c>
      <c r="F34" s="143">
        <f>F32+F33</f>
        <v>0</v>
      </c>
      <c r="X34" s="10"/>
    </row>
    <row r="35" spans="1:24" ht="18" customHeight="1" thickBot="1" x14ac:dyDescent="0.3">
      <c r="A35" s="7"/>
      <c r="B35" s="55"/>
      <c r="C35" s="69"/>
      <c r="D35" s="101" t="s">
        <v>107</v>
      </c>
      <c r="E35" s="144"/>
      <c r="F35" s="102">
        <f>F34*0.22</f>
        <v>0</v>
      </c>
    </row>
    <row r="36" spans="1:24" ht="18" customHeight="1" thickBot="1" x14ac:dyDescent="0.3">
      <c r="A36" s="2"/>
      <c r="D36" s="103" t="s">
        <v>130</v>
      </c>
      <c r="E36" s="103"/>
      <c r="F36" s="104">
        <f>F34+F35</f>
        <v>0</v>
      </c>
    </row>
    <row r="37" spans="1:24" ht="15" thickTop="1" x14ac:dyDescent="0.2">
      <c r="A37" s="5"/>
      <c r="E37" s="105"/>
      <c r="F37" s="105"/>
    </row>
    <row r="38" spans="1:24" x14ac:dyDescent="0.2">
      <c r="A38" s="5"/>
    </row>
    <row r="39" spans="1:24" x14ac:dyDescent="0.2">
      <c r="A39" s="5"/>
    </row>
    <row r="40" spans="1:24" x14ac:dyDescent="0.2">
      <c r="A40" s="5"/>
    </row>
    <row r="41" spans="1:24" x14ac:dyDescent="0.2">
      <c r="A41" s="1" t="s">
        <v>128</v>
      </c>
    </row>
    <row r="42" spans="1:24" x14ac:dyDescent="0.2">
      <c r="A42" s="5"/>
    </row>
    <row r="43" spans="1:24" x14ac:dyDescent="0.2">
      <c r="A43" s="1"/>
    </row>
    <row r="44" spans="1:24" x14ac:dyDescent="0.2">
      <c r="A44" s="5"/>
      <c r="F44" s="93" t="s">
        <v>0</v>
      </c>
    </row>
    <row r="45" spans="1:24" s="66" customFormat="1" ht="23.45" customHeight="1" thickBot="1" x14ac:dyDescent="0.3">
      <c r="A45" s="12" t="s">
        <v>11</v>
      </c>
      <c r="B45" s="64" t="s">
        <v>12</v>
      </c>
      <c r="C45" s="65" t="s">
        <v>72</v>
      </c>
      <c r="D45" s="122" t="s">
        <v>13</v>
      </c>
      <c r="E45" s="146" t="s">
        <v>14</v>
      </c>
      <c r="F45" s="106" t="s">
        <v>15</v>
      </c>
      <c r="X45" s="67"/>
    </row>
    <row r="46" spans="1:24" x14ac:dyDescent="0.2">
      <c r="A46" s="13"/>
      <c r="B46" s="58"/>
      <c r="C46" s="72"/>
      <c r="D46" s="123"/>
      <c r="E46" s="147"/>
      <c r="F46" s="107"/>
    </row>
    <row r="47" spans="1:24" s="15" customFormat="1" ht="15" x14ac:dyDescent="0.25">
      <c r="A47" s="14" t="s">
        <v>19</v>
      </c>
      <c r="B47" s="59"/>
      <c r="C47" s="73"/>
      <c r="D47" s="124"/>
      <c r="E47" s="148"/>
      <c r="F47" s="108"/>
      <c r="X47" s="16"/>
    </row>
    <row r="48" spans="1:24" x14ac:dyDescent="0.2">
      <c r="A48" s="17"/>
      <c r="B48" s="25"/>
      <c r="C48" s="74"/>
      <c r="D48" s="125"/>
      <c r="E48" s="149"/>
      <c r="F48" s="108"/>
    </row>
    <row r="49" spans="1:24" ht="54.75" customHeight="1" x14ac:dyDescent="0.2">
      <c r="A49" s="68">
        <v>1</v>
      </c>
      <c r="B49" s="25" t="s">
        <v>73</v>
      </c>
      <c r="C49" s="74" t="s">
        <v>44</v>
      </c>
      <c r="D49" s="126">
        <f>71+20</f>
        <v>91</v>
      </c>
      <c r="E49" s="149"/>
      <c r="F49" s="108">
        <f>D49*E49</f>
        <v>0</v>
      </c>
    </row>
    <row r="50" spans="1:24" x14ac:dyDescent="0.2">
      <c r="A50" s="17"/>
      <c r="B50" s="53" t="s">
        <v>90</v>
      </c>
      <c r="C50" s="74" t="s">
        <v>9</v>
      </c>
      <c r="D50" s="126">
        <v>5</v>
      </c>
      <c r="E50" s="149"/>
      <c r="F50" s="108">
        <f>D50*E50</f>
        <v>0</v>
      </c>
    </row>
    <row r="51" spans="1:24" x14ac:dyDescent="0.2">
      <c r="A51" s="17"/>
      <c r="B51" s="25"/>
      <c r="C51" s="74"/>
      <c r="D51" s="125"/>
      <c r="E51" s="149"/>
      <c r="F51" s="108"/>
    </row>
    <row r="52" spans="1:24" s="21" customFormat="1" ht="36" customHeight="1" x14ac:dyDescent="0.2">
      <c r="A52" s="19">
        <f>AVERAGE(A49:A49)+1</f>
        <v>2</v>
      </c>
      <c r="B52" s="20" t="s">
        <v>74</v>
      </c>
      <c r="C52" s="75" t="s">
        <v>9</v>
      </c>
      <c r="D52" s="114">
        <v>12</v>
      </c>
      <c r="E52" s="150"/>
      <c r="F52" s="108">
        <f>D52*E52</f>
        <v>0</v>
      </c>
      <c r="X52" s="22"/>
    </row>
    <row r="53" spans="1:24" s="21" customFormat="1" x14ac:dyDescent="0.2">
      <c r="A53" s="19"/>
      <c r="B53" s="20"/>
      <c r="C53" s="76"/>
      <c r="D53" s="115"/>
      <c r="E53" s="150"/>
      <c r="F53" s="108"/>
      <c r="W53" s="23"/>
      <c r="X53" s="22"/>
    </row>
    <row r="54" spans="1:24" s="21" customFormat="1" ht="63.75" customHeight="1" x14ac:dyDescent="0.2">
      <c r="A54" s="19">
        <v>3</v>
      </c>
      <c r="B54" s="60" t="s">
        <v>61</v>
      </c>
      <c r="C54" s="77" t="s">
        <v>29</v>
      </c>
      <c r="D54" s="116">
        <v>1</v>
      </c>
      <c r="E54" s="150"/>
      <c r="F54" s="108">
        <f>D54*E54</f>
        <v>0</v>
      </c>
      <c r="W54" s="23"/>
      <c r="X54" s="22"/>
    </row>
    <row r="55" spans="1:24" s="21" customFormat="1" x14ac:dyDescent="0.2">
      <c r="A55" s="19"/>
      <c r="B55" s="20"/>
      <c r="C55" s="76"/>
      <c r="D55" s="115"/>
      <c r="E55" s="150"/>
      <c r="F55" s="108"/>
      <c r="W55" s="23"/>
      <c r="X55" s="22"/>
    </row>
    <row r="56" spans="1:24" s="21" customFormat="1" ht="63.75" customHeight="1" x14ac:dyDescent="0.2">
      <c r="A56" s="19">
        <v>4</v>
      </c>
      <c r="B56" s="60" t="s">
        <v>108</v>
      </c>
      <c r="C56" s="77" t="s">
        <v>29</v>
      </c>
      <c r="D56" s="116">
        <v>1</v>
      </c>
      <c r="E56" s="150"/>
      <c r="F56" s="108">
        <f>D56*E56</f>
        <v>0</v>
      </c>
      <c r="W56" s="23"/>
      <c r="X56" s="22"/>
    </row>
    <row r="57" spans="1:24" s="21" customFormat="1" x14ac:dyDescent="0.2">
      <c r="A57" s="19"/>
      <c r="B57" s="20"/>
      <c r="C57" s="76"/>
      <c r="D57" s="115"/>
      <c r="E57" s="150"/>
      <c r="F57" s="108"/>
      <c r="W57" s="23"/>
      <c r="X57" s="22"/>
    </row>
    <row r="58" spans="1:24" s="21" customFormat="1" ht="80.25" customHeight="1" x14ac:dyDescent="0.2">
      <c r="A58" s="19">
        <f>MAX(A53:A56)+1</f>
        <v>5</v>
      </c>
      <c r="B58" s="20" t="s">
        <v>109</v>
      </c>
      <c r="C58" s="74" t="s">
        <v>29</v>
      </c>
      <c r="D58" s="115">
        <v>1</v>
      </c>
      <c r="E58" s="150"/>
      <c r="F58" s="108">
        <f>D58*E58</f>
        <v>0</v>
      </c>
      <c r="W58" s="23"/>
      <c r="X58" s="22"/>
    </row>
    <row r="59" spans="1:24" s="21" customFormat="1" x14ac:dyDescent="0.2">
      <c r="A59" s="19"/>
      <c r="B59" s="20"/>
      <c r="C59" s="74"/>
      <c r="D59" s="115"/>
      <c r="E59" s="150"/>
      <c r="F59" s="108"/>
      <c r="W59" s="23"/>
      <c r="X59" s="22"/>
    </row>
    <row r="60" spans="1:24" s="21" customFormat="1" ht="48" customHeight="1" x14ac:dyDescent="0.2">
      <c r="A60" s="19">
        <f>MAX(A56:A58)+1</f>
        <v>6</v>
      </c>
      <c r="B60" s="32" t="s">
        <v>110</v>
      </c>
      <c r="C60" s="75" t="s">
        <v>6</v>
      </c>
      <c r="D60" s="125">
        <v>20</v>
      </c>
      <c r="E60" s="150"/>
      <c r="F60" s="108">
        <f>D60*E60</f>
        <v>0</v>
      </c>
      <c r="W60" s="23"/>
      <c r="X60" s="22"/>
    </row>
    <row r="61" spans="1:24" s="21" customFormat="1" x14ac:dyDescent="0.2">
      <c r="A61" s="19"/>
      <c r="B61" s="32"/>
      <c r="C61" s="75"/>
      <c r="D61" s="125"/>
      <c r="E61" s="150"/>
      <c r="F61" s="108"/>
      <c r="W61" s="23"/>
      <c r="X61" s="22"/>
    </row>
    <row r="62" spans="1:24" s="21" customFormat="1" ht="48.75" customHeight="1" x14ac:dyDescent="0.2">
      <c r="A62" s="19">
        <f>MAX(A57:A60)+1</f>
        <v>7</v>
      </c>
      <c r="B62" s="32" t="s">
        <v>75</v>
      </c>
      <c r="C62" s="75" t="s">
        <v>7</v>
      </c>
      <c r="D62" s="125">
        <f>10*0.4</f>
        <v>4</v>
      </c>
      <c r="E62" s="150"/>
      <c r="F62" s="108">
        <f>D62*E62</f>
        <v>0</v>
      </c>
      <c r="W62" s="23"/>
      <c r="X62" s="22"/>
    </row>
    <row r="63" spans="1:24" s="21" customFormat="1" x14ac:dyDescent="0.2">
      <c r="A63" s="19"/>
      <c r="B63" s="32"/>
      <c r="C63" s="75"/>
      <c r="D63" s="125"/>
      <c r="E63" s="150"/>
      <c r="F63" s="108"/>
      <c r="W63" s="23"/>
      <c r="X63" s="22"/>
    </row>
    <row r="64" spans="1:24" s="21" customFormat="1" ht="66" customHeight="1" x14ac:dyDescent="0.2">
      <c r="A64" s="19">
        <f>MAX(A59:A62)+1</f>
        <v>8</v>
      </c>
      <c r="B64" s="32" t="s">
        <v>96</v>
      </c>
      <c r="C64" s="75" t="s">
        <v>9</v>
      </c>
      <c r="D64" s="125">
        <v>1</v>
      </c>
      <c r="E64" s="150"/>
      <c r="F64" s="108">
        <f>D64*E64</f>
        <v>0</v>
      </c>
      <c r="W64" s="23"/>
      <c r="X64" s="22"/>
    </row>
    <row r="65" spans="1:24" s="21" customFormat="1" x14ac:dyDescent="0.2">
      <c r="A65" s="19"/>
      <c r="B65" s="32"/>
      <c r="C65" s="75"/>
      <c r="D65" s="125"/>
      <c r="E65" s="150"/>
      <c r="F65" s="108"/>
      <c r="W65" s="23"/>
      <c r="X65" s="22"/>
    </row>
    <row r="66" spans="1:24" s="21" customFormat="1" ht="50.25" customHeight="1" x14ac:dyDescent="0.2">
      <c r="A66" s="19">
        <f>MAX(A61:A64)+1</f>
        <v>9</v>
      </c>
      <c r="B66" s="32" t="s">
        <v>76</v>
      </c>
      <c r="C66" s="75" t="s">
        <v>44</v>
      </c>
      <c r="D66" s="125">
        <v>12</v>
      </c>
      <c r="E66" s="150"/>
      <c r="F66" s="108">
        <f>D66*E66</f>
        <v>0</v>
      </c>
      <c r="W66" s="23"/>
      <c r="X66" s="22"/>
    </row>
    <row r="67" spans="1:24" s="21" customFormat="1" x14ac:dyDescent="0.2">
      <c r="A67" s="19"/>
      <c r="B67" s="32"/>
      <c r="C67" s="75"/>
      <c r="D67" s="125"/>
      <c r="E67" s="150"/>
      <c r="F67" s="108"/>
      <c r="W67" s="23"/>
      <c r="X67" s="22"/>
    </row>
    <row r="68" spans="1:24" s="21" customFormat="1" ht="34.5" customHeight="1" x14ac:dyDescent="0.2">
      <c r="A68" s="19">
        <f>MAX(A63:A66)+1</f>
        <v>10</v>
      </c>
      <c r="B68" s="32" t="s">
        <v>99</v>
      </c>
      <c r="C68" s="75" t="s">
        <v>44</v>
      </c>
      <c r="D68" s="125">
        <v>18</v>
      </c>
      <c r="E68" s="150"/>
      <c r="F68" s="108">
        <f>D68*E68</f>
        <v>0</v>
      </c>
      <c r="W68" s="23"/>
      <c r="X68" s="22"/>
    </row>
    <row r="69" spans="1:24" s="21" customFormat="1" x14ac:dyDescent="0.2">
      <c r="A69" s="19"/>
      <c r="B69" s="32"/>
      <c r="C69" s="75"/>
      <c r="D69" s="125"/>
      <c r="E69" s="150"/>
      <c r="F69" s="108"/>
      <c r="W69" s="23"/>
      <c r="X69" s="22"/>
    </row>
    <row r="70" spans="1:24" s="21" customFormat="1" ht="32.25" customHeight="1" x14ac:dyDescent="0.2">
      <c r="A70" s="19">
        <f>MAX(A65:A68)+1</f>
        <v>11</v>
      </c>
      <c r="B70" s="32" t="s">
        <v>100</v>
      </c>
      <c r="C70" s="75" t="s">
        <v>44</v>
      </c>
      <c r="D70" s="125">
        <v>22</v>
      </c>
      <c r="E70" s="150"/>
      <c r="F70" s="108">
        <f>D70*E70</f>
        <v>0</v>
      </c>
      <c r="W70" s="23"/>
      <c r="X70" s="22"/>
    </row>
    <row r="71" spans="1:24" s="21" customFormat="1" x14ac:dyDescent="0.2">
      <c r="A71" s="19"/>
      <c r="B71" s="32"/>
      <c r="C71" s="75"/>
      <c r="D71" s="125"/>
      <c r="E71" s="150"/>
      <c r="F71" s="108"/>
      <c r="W71" s="23"/>
      <c r="X71" s="22"/>
    </row>
    <row r="72" spans="1:24" s="21" customFormat="1" ht="35.25" customHeight="1" x14ac:dyDescent="0.2">
      <c r="A72" s="19">
        <f>MAX(A67:A70)+1</f>
        <v>12</v>
      </c>
      <c r="B72" s="32" t="s">
        <v>101</v>
      </c>
      <c r="C72" s="75" t="s">
        <v>44</v>
      </c>
      <c r="D72" s="125">
        <v>18</v>
      </c>
      <c r="E72" s="150"/>
      <c r="F72" s="108">
        <f>D72*E72</f>
        <v>0</v>
      </c>
      <c r="W72" s="23"/>
      <c r="X72" s="22"/>
    </row>
    <row r="73" spans="1:24" s="21" customFormat="1" x14ac:dyDescent="0.2">
      <c r="A73" s="19"/>
      <c r="B73" s="20"/>
      <c r="C73" s="74"/>
      <c r="D73" s="115"/>
      <c r="E73" s="150"/>
      <c r="F73" s="108"/>
      <c r="W73" s="23"/>
      <c r="X73" s="22"/>
    </row>
    <row r="74" spans="1:24" s="21" customFormat="1" ht="65.25" customHeight="1" thickBot="1" x14ac:dyDescent="0.25">
      <c r="A74" s="19">
        <f>MAX(A64:A73)+1</f>
        <v>13</v>
      </c>
      <c r="B74" s="61" t="s">
        <v>62</v>
      </c>
      <c r="C74" s="78" t="s">
        <v>29</v>
      </c>
      <c r="D74" s="117">
        <v>1</v>
      </c>
      <c r="E74" s="151"/>
      <c r="F74" s="110">
        <f>D74*E74</f>
        <v>0</v>
      </c>
      <c r="W74" s="23"/>
      <c r="X74" s="22"/>
    </row>
    <row r="75" spans="1:24" s="21" customFormat="1" ht="15.75" thickTop="1" x14ac:dyDescent="0.25">
      <c r="A75" s="19"/>
      <c r="B75" s="20"/>
      <c r="C75" s="74"/>
      <c r="D75" s="127"/>
      <c r="E75" s="152" t="s">
        <v>55</v>
      </c>
      <c r="F75" s="108">
        <f>SUM(F49:F74)</f>
        <v>0</v>
      </c>
      <c r="W75" s="23"/>
      <c r="X75" s="22"/>
    </row>
    <row r="76" spans="1:24" s="21" customFormat="1" x14ac:dyDescent="0.2">
      <c r="A76" s="19"/>
      <c r="B76" s="25"/>
      <c r="C76" s="74"/>
      <c r="D76" s="125"/>
      <c r="E76" s="148" t="s">
        <v>28</v>
      </c>
      <c r="F76" s="108"/>
      <c r="V76" s="26"/>
      <c r="W76" s="23"/>
      <c r="X76" s="22"/>
    </row>
    <row r="77" spans="1:24" s="21" customFormat="1" ht="15" x14ac:dyDescent="0.2">
      <c r="A77" s="27" t="s">
        <v>20</v>
      </c>
      <c r="B77" s="25"/>
      <c r="C77" s="74"/>
      <c r="D77" s="125"/>
      <c r="E77" s="148" t="s">
        <v>28</v>
      </c>
      <c r="F77" s="108"/>
      <c r="V77" s="26"/>
      <c r="W77" s="23"/>
      <c r="X77" s="22"/>
    </row>
    <row r="78" spans="1:24" s="21" customFormat="1" ht="15.75" customHeight="1" x14ac:dyDescent="0.2">
      <c r="A78" s="19"/>
      <c r="B78" s="25"/>
      <c r="C78" s="74"/>
      <c r="D78" s="125"/>
      <c r="E78" s="148"/>
      <c r="F78" s="108"/>
      <c r="V78" s="26"/>
      <c r="W78" s="23"/>
      <c r="X78" s="22"/>
    </row>
    <row r="79" spans="1:24" s="21" customFormat="1" ht="36.75" customHeight="1" x14ac:dyDescent="0.2">
      <c r="A79" s="28">
        <v>1</v>
      </c>
      <c r="B79" s="20" t="s">
        <v>63</v>
      </c>
      <c r="C79" s="75" t="s">
        <v>7</v>
      </c>
      <c r="D79" s="114">
        <f>425*0.2</f>
        <v>85</v>
      </c>
      <c r="E79" s="150"/>
      <c r="F79" s="108">
        <f>D79*E79</f>
        <v>0</v>
      </c>
    </row>
    <row r="80" spans="1:24" s="21" customFormat="1" ht="15.75" customHeight="1" x14ac:dyDescent="0.2">
      <c r="A80" s="28"/>
      <c r="B80" s="20"/>
      <c r="C80" s="79"/>
      <c r="D80" s="115"/>
      <c r="E80" s="150"/>
      <c r="F80" s="109"/>
      <c r="J80" s="29"/>
    </row>
    <row r="81" spans="1:24" s="21" customFormat="1" ht="72" customHeight="1" x14ac:dyDescent="0.2">
      <c r="A81" s="19">
        <f>AVERAGE(A79:A80)+1</f>
        <v>2</v>
      </c>
      <c r="B81" s="20" t="s">
        <v>111</v>
      </c>
      <c r="C81" s="74"/>
      <c r="D81" s="115"/>
      <c r="E81" s="150"/>
      <c r="F81" s="108"/>
      <c r="I81" s="30"/>
      <c r="K81" s="31"/>
      <c r="L81" s="30"/>
      <c r="M81" s="30"/>
      <c r="P81" s="30"/>
      <c r="Q81" s="30"/>
      <c r="R81" s="30"/>
      <c r="S81" s="30"/>
      <c r="T81" s="30"/>
      <c r="V81" s="26"/>
      <c r="W81" s="23"/>
      <c r="X81" s="22"/>
    </row>
    <row r="82" spans="1:24" s="21" customFormat="1" ht="15.75" customHeight="1" x14ac:dyDescent="0.2">
      <c r="A82" s="19"/>
      <c r="B82" s="20" t="s">
        <v>30</v>
      </c>
      <c r="C82" s="75" t="s">
        <v>7</v>
      </c>
      <c r="D82" s="114">
        <f>(((112.3+189)*0.5*3.2)+(1.65*0.9)+1.1*0.9*3.5)*0.5</f>
        <v>243.51500000000001</v>
      </c>
      <c r="E82" s="150"/>
      <c r="F82" s="108">
        <f>D82*E82</f>
        <v>0</v>
      </c>
      <c r="I82" s="30"/>
      <c r="K82" s="31"/>
      <c r="L82" s="30"/>
      <c r="M82" s="30"/>
      <c r="P82" s="30"/>
      <c r="Q82" s="30"/>
      <c r="R82" s="30"/>
      <c r="S82" s="30"/>
      <c r="T82" s="30"/>
      <c r="V82" s="26"/>
      <c r="W82" s="23"/>
      <c r="X82" s="22"/>
    </row>
    <row r="83" spans="1:24" s="21" customFormat="1" x14ac:dyDescent="0.2">
      <c r="A83" s="19"/>
      <c r="B83" s="20" t="s">
        <v>31</v>
      </c>
      <c r="C83" s="75" t="s">
        <v>7</v>
      </c>
      <c r="D83" s="114">
        <f>(((112.3+189)*0.5*3.2)+(1.65*0.9)+1.1*0.9*3.5)*0.5</f>
        <v>243.51500000000001</v>
      </c>
      <c r="E83" s="150"/>
      <c r="F83" s="108">
        <f>D83*E83</f>
        <v>0</v>
      </c>
      <c r="I83" s="30"/>
      <c r="K83" s="31"/>
      <c r="L83" s="30"/>
      <c r="M83" s="30"/>
      <c r="P83" s="30"/>
      <c r="Q83" s="30"/>
      <c r="R83" s="30"/>
      <c r="S83" s="30"/>
      <c r="T83" s="30"/>
      <c r="V83" s="26"/>
      <c r="W83" s="23"/>
      <c r="X83" s="22"/>
    </row>
    <row r="84" spans="1:24" s="21" customFormat="1" x14ac:dyDescent="0.2">
      <c r="A84" s="19"/>
      <c r="B84" s="20"/>
      <c r="C84" s="80"/>
      <c r="D84" s="115"/>
      <c r="E84" s="150"/>
      <c r="F84" s="108"/>
      <c r="I84" s="31"/>
      <c r="J84" s="29"/>
      <c r="K84" s="31"/>
      <c r="V84" s="26"/>
      <c r="W84" s="23"/>
      <c r="X84" s="22"/>
    </row>
    <row r="85" spans="1:24" s="21" customFormat="1" ht="112.5" customHeight="1" x14ac:dyDescent="0.2">
      <c r="A85" s="19">
        <f>MAX(A79:A84)+1</f>
        <v>3</v>
      </c>
      <c r="B85" s="20" t="s">
        <v>102</v>
      </c>
      <c r="C85" s="74"/>
      <c r="D85" s="115"/>
      <c r="E85" s="150"/>
      <c r="F85" s="108"/>
      <c r="I85" s="31"/>
      <c r="J85" s="29"/>
      <c r="K85" s="31"/>
      <c r="V85" s="26"/>
      <c r="W85" s="23"/>
      <c r="X85" s="22"/>
    </row>
    <row r="86" spans="1:24" s="21" customFormat="1" x14ac:dyDescent="0.2">
      <c r="A86" s="19"/>
      <c r="B86" s="20" t="s">
        <v>30</v>
      </c>
      <c r="C86" s="75" t="s">
        <v>7</v>
      </c>
      <c r="D86" s="114">
        <f>(((2.9+1.1)*0.5*2.5*32)+((3.3+1.1)*0.5*3*36)+((2.9+1.1)*0.5*2.5*20))*0.05</f>
        <v>24.880000000000003</v>
      </c>
      <c r="E86" s="150"/>
      <c r="F86" s="108">
        <f>D86*E86</f>
        <v>0</v>
      </c>
      <c r="I86" s="31"/>
      <c r="J86" s="29"/>
      <c r="K86" s="31"/>
      <c r="V86" s="26"/>
      <c r="W86" s="23"/>
      <c r="X86" s="22"/>
    </row>
    <row r="87" spans="1:24" s="21" customFormat="1" x14ac:dyDescent="0.2">
      <c r="A87" s="19"/>
      <c r="B87" s="20" t="s">
        <v>31</v>
      </c>
      <c r="C87" s="75" t="s">
        <v>7</v>
      </c>
      <c r="D87" s="114">
        <f>(((2.9+1.1)*0.5*2.5*32)+((3.3+1.1)*0.5*3*36)+((2.9+1.1)*0.5*2.5*20))*0.05</f>
        <v>24.880000000000003</v>
      </c>
      <c r="E87" s="150"/>
      <c r="F87" s="108">
        <f>D87*E87</f>
        <v>0</v>
      </c>
      <c r="I87" s="31"/>
      <c r="J87" s="29"/>
      <c r="K87" s="31"/>
      <c r="V87" s="26"/>
      <c r="W87" s="23"/>
      <c r="X87" s="22"/>
    </row>
    <row r="88" spans="1:24" s="21" customFormat="1" x14ac:dyDescent="0.2">
      <c r="A88" s="19"/>
      <c r="B88" s="20"/>
      <c r="C88" s="76"/>
      <c r="D88" s="115" t="s">
        <v>28</v>
      </c>
      <c r="E88" s="150"/>
      <c r="F88" s="108"/>
      <c r="V88" s="26"/>
      <c r="W88" s="23"/>
      <c r="X88" s="22"/>
    </row>
    <row r="89" spans="1:24" s="21" customFormat="1" ht="82.5" customHeight="1" x14ac:dyDescent="0.25">
      <c r="A89" s="19">
        <f>MAX(A79:A88)+1</f>
        <v>4</v>
      </c>
      <c r="B89" s="43" t="s">
        <v>64</v>
      </c>
      <c r="C89" s="77"/>
      <c r="D89" s="128"/>
      <c r="E89" s="150"/>
      <c r="F89" s="108"/>
      <c r="V89" s="26"/>
      <c r="W89" s="23"/>
      <c r="X89" s="22"/>
    </row>
    <row r="90" spans="1:24" s="21" customFormat="1" x14ac:dyDescent="0.2">
      <c r="A90" s="19"/>
      <c r="B90" s="20" t="s">
        <v>30</v>
      </c>
      <c r="C90" s="75" t="s">
        <v>7</v>
      </c>
      <c r="D90" s="114">
        <f>(((2.9+1.1)*0.5*2.5*32)+((3.3+1.1)*0.5*3*36)+((2.9+1.1)*0.5*2.5*20))*0.4</f>
        <v>199.04000000000002</v>
      </c>
      <c r="E90" s="150"/>
      <c r="F90" s="108">
        <f>D90*E90</f>
        <v>0</v>
      </c>
      <c r="V90" s="26"/>
      <c r="W90" s="23"/>
      <c r="X90" s="22"/>
    </row>
    <row r="91" spans="1:24" s="21" customFormat="1" x14ac:dyDescent="0.2">
      <c r="A91" s="19"/>
      <c r="B91" s="20" t="s">
        <v>31</v>
      </c>
      <c r="C91" s="75" t="s">
        <v>7</v>
      </c>
      <c r="D91" s="114">
        <f>(((2.9+1.1)*0.5*2.5*32)+((3.3+1.1)*0.5*3*36)+((2.9+1.1)*0.5*2.5*20))*0.5</f>
        <v>248.8</v>
      </c>
      <c r="E91" s="150"/>
      <c r="F91" s="108">
        <f>D91*E91</f>
        <v>0</v>
      </c>
      <c r="V91" s="26"/>
      <c r="W91" s="23"/>
      <c r="X91" s="22"/>
    </row>
    <row r="92" spans="1:24" s="21" customFormat="1" ht="18" customHeight="1" x14ac:dyDescent="0.2">
      <c r="A92" s="28"/>
      <c r="B92" s="20"/>
      <c r="C92" s="74"/>
      <c r="D92" s="115" t="s">
        <v>28</v>
      </c>
      <c r="E92" s="150"/>
      <c r="F92" s="111"/>
    </row>
    <row r="93" spans="1:24" s="21" customFormat="1" ht="86.25" customHeight="1" x14ac:dyDescent="0.2">
      <c r="A93" s="19">
        <f>MAX(A85:A92)+1</f>
        <v>5</v>
      </c>
      <c r="B93" s="20" t="s">
        <v>112</v>
      </c>
      <c r="C93" s="75" t="s">
        <v>8</v>
      </c>
      <c r="D93" s="129">
        <v>200</v>
      </c>
      <c r="E93" s="150"/>
      <c r="F93" s="108">
        <f>D93*E93</f>
        <v>0</v>
      </c>
      <c r="V93" s="26"/>
      <c r="W93" s="23"/>
      <c r="X93" s="22"/>
    </row>
    <row r="94" spans="1:24" s="21" customFormat="1" x14ac:dyDescent="0.2">
      <c r="A94" s="19"/>
      <c r="B94" s="20"/>
      <c r="C94" s="75"/>
      <c r="D94" s="129"/>
      <c r="E94" s="150"/>
      <c r="F94" s="108"/>
      <c r="V94" s="26"/>
      <c r="W94" s="23"/>
      <c r="X94" s="22"/>
    </row>
    <row r="95" spans="1:24" s="21" customFormat="1" ht="37.5" customHeight="1" x14ac:dyDescent="0.2">
      <c r="A95" s="19">
        <f>MAX(A85:A94)+1</f>
        <v>6</v>
      </c>
      <c r="B95" s="20" t="s">
        <v>95</v>
      </c>
      <c r="C95" s="75" t="s">
        <v>8</v>
      </c>
      <c r="D95" s="129">
        <v>90</v>
      </c>
      <c r="E95" s="150"/>
      <c r="F95" s="108">
        <f>D95*E95</f>
        <v>0</v>
      </c>
      <c r="V95" s="26"/>
      <c r="W95" s="23"/>
      <c r="X95" s="22"/>
    </row>
    <row r="96" spans="1:24" s="21" customFormat="1" x14ac:dyDescent="0.2">
      <c r="A96" s="19"/>
      <c r="B96" s="25"/>
      <c r="C96" s="74"/>
      <c r="D96" s="115" t="s">
        <v>28</v>
      </c>
      <c r="E96" s="150"/>
      <c r="F96" s="108"/>
      <c r="V96" s="26"/>
      <c r="W96" s="23"/>
      <c r="X96" s="22"/>
    </row>
    <row r="97" spans="1:24" s="21" customFormat="1" ht="51" customHeight="1" x14ac:dyDescent="0.2">
      <c r="A97" s="19">
        <f>MAX(A87:A96)+1</f>
        <v>7</v>
      </c>
      <c r="B97" s="20" t="s">
        <v>32</v>
      </c>
      <c r="C97" s="75" t="s">
        <v>8</v>
      </c>
      <c r="D97" s="114">
        <f>75+91*1.1</f>
        <v>175.10000000000002</v>
      </c>
      <c r="E97" s="150"/>
      <c r="F97" s="108">
        <f>D97*E97</f>
        <v>0</v>
      </c>
      <c r="V97" s="26"/>
      <c r="W97" s="23"/>
      <c r="X97" s="22"/>
    </row>
    <row r="98" spans="1:24" s="21" customFormat="1" x14ac:dyDescent="0.2">
      <c r="A98" s="19"/>
      <c r="B98" s="20"/>
      <c r="C98" s="80"/>
      <c r="D98" s="115"/>
      <c r="E98" s="150"/>
      <c r="F98" s="108"/>
      <c r="V98" s="26"/>
      <c r="W98" s="23"/>
      <c r="X98" s="22"/>
    </row>
    <row r="99" spans="1:24" s="21" customFormat="1" ht="69" customHeight="1" x14ac:dyDescent="0.2">
      <c r="A99" s="19">
        <f>MAX(A89:A98)+1</f>
        <v>8</v>
      </c>
      <c r="B99" s="20" t="s">
        <v>113</v>
      </c>
      <c r="C99" s="75" t="s">
        <v>7</v>
      </c>
      <c r="D99" s="114">
        <f>91*1.1*0.13</f>
        <v>13.013000000000002</v>
      </c>
      <c r="E99" s="150"/>
      <c r="F99" s="108">
        <f>D99*E99</f>
        <v>0</v>
      </c>
      <c r="V99" s="26"/>
      <c r="W99" s="23"/>
      <c r="X99" s="22"/>
    </row>
    <row r="100" spans="1:24" s="21" customFormat="1" x14ac:dyDescent="0.2">
      <c r="A100" s="33"/>
      <c r="B100" s="20"/>
      <c r="C100" s="79"/>
      <c r="D100" s="115"/>
      <c r="E100" s="150"/>
      <c r="F100" s="108"/>
      <c r="V100" s="26"/>
      <c r="W100" s="23"/>
      <c r="X100" s="22"/>
    </row>
    <row r="101" spans="1:24" s="21" customFormat="1" ht="117.75" customHeight="1" x14ac:dyDescent="0.2">
      <c r="A101" s="19">
        <f>MAX(A91:A100)+1</f>
        <v>9</v>
      </c>
      <c r="B101" s="20" t="s">
        <v>129</v>
      </c>
      <c r="C101" s="75" t="s">
        <v>7</v>
      </c>
      <c r="D101" s="114">
        <f>91*(1.7+1.1)*0.5*0.8-91*0.2</f>
        <v>83.72</v>
      </c>
      <c r="E101" s="150"/>
      <c r="F101" s="108">
        <f>D101*E101</f>
        <v>0</v>
      </c>
      <c r="V101" s="26"/>
      <c r="W101" s="23"/>
      <c r="X101" s="22"/>
    </row>
    <row r="102" spans="1:24" s="21" customFormat="1" x14ac:dyDescent="0.2">
      <c r="A102" s="33"/>
      <c r="B102" s="20"/>
      <c r="C102" s="79"/>
      <c r="D102" s="115"/>
      <c r="E102" s="150"/>
      <c r="F102" s="108"/>
      <c r="V102" s="26"/>
      <c r="W102" s="23"/>
      <c r="X102" s="22"/>
    </row>
    <row r="103" spans="1:24" s="21" customFormat="1" ht="69" customHeight="1" x14ac:dyDescent="0.2">
      <c r="A103" s="19">
        <f>MAX(A92:A102)+1</f>
        <v>10</v>
      </c>
      <c r="B103" s="20" t="s">
        <v>65</v>
      </c>
      <c r="C103" s="75" t="s">
        <v>7</v>
      </c>
      <c r="D103" s="115">
        <f>(((2.7+1.7)*0.5*1.4*32)+((3.1+1.7)*0.5*1.9*36)+((2.7+1.7)*0.5*1.4*20))*0.2</f>
        <v>64.864000000000019</v>
      </c>
      <c r="E103" s="150"/>
      <c r="F103" s="108">
        <f>D103*E103</f>
        <v>0</v>
      </c>
      <c r="V103" s="26"/>
      <c r="W103" s="23"/>
      <c r="X103" s="22"/>
    </row>
    <row r="104" spans="1:24" s="21" customFormat="1" x14ac:dyDescent="0.2">
      <c r="A104" s="19"/>
      <c r="B104" s="20"/>
      <c r="C104" s="79"/>
      <c r="D104" s="115"/>
      <c r="E104" s="150"/>
      <c r="F104" s="108"/>
      <c r="V104" s="26"/>
      <c r="W104" s="23"/>
      <c r="X104" s="22"/>
    </row>
    <row r="105" spans="1:24" s="21" customFormat="1" ht="51" customHeight="1" x14ac:dyDescent="0.2">
      <c r="A105" s="19">
        <f>MAX(A92:A103)+1</f>
        <v>11</v>
      </c>
      <c r="B105" s="20" t="s">
        <v>77</v>
      </c>
      <c r="C105" s="79" t="s">
        <v>7</v>
      </c>
      <c r="D105" s="115">
        <f>(((2.7+1.7)*0.5*1.4*32)+((3.1+1.7)*0.5*1.9*36)+((2.7+1.7)*0.5*1.4*20))*0.8</f>
        <v>259.45600000000007</v>
      </c>
      <c r="E105" s="150"/>
      <c r="F105" s="108">
        <f>D105*E105</f>
        <v>0</v>
      </c>
      <c r="V105" s="26"/>
      <c r="W105" s="23"/>
      <c r="X105" s="22"/>
    </row>
    <row r="106" spans="1:24" s="21" customFormat="1" x14ac:dyDescent="0.2">
      <c r="A106" s="19"/>
      <c r="B106" s="20"/>
      <c r="C106" s="80"/>
      <c r="D106" s="130" t="s">
        <v>28</v>
      </c>
      <c r="E106" s="150"/>
      <c r="F106" s="108"/>
      <c r="V106" s="35"/>
      <c r="W106" s="23"/>
      <c r="X106" s="22"/>
    </row>
    <row r="107" spans="1:24" s="21" customFormat="1" ht="96.75" customHeight="1" x14ac:dyDescent="0.2">
      <c r="A107" s="19">
        <f>MAX(A101:A106)+1</f>
        <v>12</v>
      </c>
      <c r="B107" s="20" t="s">
        <v>33</v>
      </c>
      <c r="C107" s="75" t="s">
        <v>7</v>
      </c>
      <c r="D107" s="114">
        <f>(((112.3+189)*0.5*3.2)+(1.65*0.9)+1.1*0.9*3.5)-(70.5*3.2+0.9*0.9*0.9+0.9*3.35*0.5)</f>
        <v>259.19349999999997</v>
      </c>
      <c r="E107" s="150"/>
      <c r="F107" s="108">
        <f>D107*E107</f>
        <v>0</v>
      </c>
      <c r="V107" s="26"/>
      <c r="W107" s="23"/>
      <c r="X107" s="22"/>
    </row>
    <row r="108" spans="1:24" s="21" customFormat="1" x14ac:dyDescent="0.2">
      <c r="A108" s="28"/>
      <c r="B108" s="25"/>
      <c r="C108" s="76"/>
      <c r="D108" s="115" t="s">
        <v>28</v>
      </c>
      <c r="E108" s="150"/>
      <c r="F108" s="108"/>
      <c r="V108" s="26"/>
      <c r="W108" s="23"/>
      <c r="X108" s="22"/>
    </row>
    <row r="109" spans="1:24" s="21" customFormat="1" ht="61.5" customHeight="1" x14ac:dyDescent="0.2">
      <c r="A109" s="19">
        <f>MAX(A106:A108)+1</f>
        <v>13</v>
      </c>
      <c r="B109" s="20" t="s">
        <v>78</v>
      </c>
      <c r="C109" s="75" t="s">
        <v>7</v>
      </c>
      <c r="D109" s="114">
        <f>(D82+D83+D86+D87+D90+D91)-D105-D107</f>
        <v>465.98050000000001</v>
      </c>
      <c r="E109" s="150"/>
      <c r="F109" s="108">
        <f>D109*E109</f>
        <v>0</v>
      </c>
      <c r="V109" s="26"/>
      <c r="W109" s="23"/>
      <c r="X109" s="22"/>
    </row>
    <row r="110" spans="1:24" s="21" customFormat="1" x14ac:dyDescent="0.2">
      <c r="A110" s="28"/>
      <c r="B110" s="25"/>
      <c r="C110" s="76"/>
      <c r="D110" s="115" t="s">
        <v>28</v>
      </c>
      <c r="E110" s="150"/>
      <c r="F110" s="108"/>
      <c r="V110" s="26"/>
      <c r="W110" s="23"/>
      <c r="X110" s="22"/>
    </row>
    <row r="111" spans="1:24" s="21" customFormat="1" ht="37.5" customHeight="1" x14ac:dyDescent="0.2">
      <c r="A111" s="19">
        <f>MAX(A106:A110)+1</f>
        <v>14</v>
      </c>
      <c r="B111" s="20" t="s">
        <v>34</v>
      </c>
      <c r="C111" s="75" t="s">
        <v>53</v>
      </c>
      <c r="D111" s="114">
        <v>100</v>
      </c>
      <c r="E111" s="150"/>
      <c r="F111" s="108">
        <f>D111*E111</f>
        <v>0</v>
      </c>
      <c r="V111" s="26"/>
      <c r="W111" s="23"/>
      <c r="X111" s="22"/>
    </row>
    <row r="112" spans="1:24" s="21" customFormat="1" x14ac:dyDescent="0.2">
      <c r="A112" s="28"/>
      <c r="B112" s="25"/>
      <c r="C112" s="76"/>
      <c r="D112" s="115" t="s">
        <v>28</v>
      </c>
      <c r="E112" s="150"/>
      <c r="F112" s="108"/>
      <c r="V112" s="26"/>
      <c r="W112" s="23"/>
      <c r="X112" s="22"/>
    </row>
    <row r="113" spans="1:24" s="21" customFormat="1" ht="37.5" customHeight="1" x14ac:dyDescent="0.2">
      <c r="A113" s="19">
        <f>MAX(A106:A112)+1</f>
        <v>15</v>
      </c>
      <c r="B113" s="20" t="s">
        <v>35</v>
      </c>
      <c r="C113" s="75" t="s">
        <v>8</v>
      </c>
      <c r="D113" s="114">
        <f>425</f>
        <v>425</v>
      </c>
      <c r="E113" s="150"/>
      <c r="F113" s="108">
        <f>D113*E113</f>
        <v>0</v>
      </c>
    </row>
    <row r="114" spans="1:24" s="21" customFormat="1" x14ac:dyDescent="0.2">
      <c r="A114" s="19"/>
      <c r="B114" s="20"/>
      <c r="C114" s="75"/>
      <c r="D114" s="114"/>
      <c r="E114" s="150"/>
      <c r="F114" s="108"/>
    </row>
    <row r="115" spans="1:24" s="21" customFormat="1" ht="66.75" customHeight="1" x14ac:dyDescent="0.2">
      <c r="A115" s="19">
        <f>MAX(A108:A114)+1</f>
        <v>16</v>
      </c>
      <c r="B115" s="20" t="s">
        <v>103</v>
      </c>
      <c r="C115" s="75" t="s">
        <v>29</v>
      </c>
      <c r="D115" s="114">
        <v>1</v>
      </c>
      <c r="E115" s="150"/>
      <c r="F115" s="108">
        <f>D115*E115</f>
        <v>0</v>
      </c>
    </row>
    <row r="116" spans="1:24" s="21" customFormat="1" ht="15.75" customHeight="1" x14ac:dyDescent="0.2">
      <c r="A116" s="28"/>
      <c r="B116" s="20"/>
      <c r="C116" s="79"/>
      <c r="D116" s="115" t="s">
        <v>28</v>
      </c>
      <c r="E116" s="150"/>
      <c r="F116" s="109"/>
      <c r="J116" s="29"/>
    </row>
    <row r="117" spans="1:24" s="21" customFormat="1" ht="48.75" customHeight="1" thickBot="1" x14ac:dyDescent="0.25">
      <c r="A117" s="19">
        <f>MAX(A107:A116)+1</f>
        <v>17</v>
      </c>
      <c r="B117" s="46" t="s">
        <v>36</v>
      </c>
      <c r="C117" s="81" t="s">
        <v>7</v>
      </c>
      <c r="D117" s="131">
        <f>120*3*0.3</f>
        <v>108</v>
      </c>
      <c r="E117" s="151"/>
      <c r="F117" s="110">
        <f>D117*E117</f>
        <v>0</v>
      </c>
      <c r="V117" s="26"/>
      <c r="W117" s="23"/>
      <c r="X117" s="22"/>
    </row>
    <row r="118" spans="1:24" s="21" customFormat="1" ht="15.75" thickTop="1" x14ac:dyDescent="0.25">
      <c r="A118" s="19"/>
      <c r="B118" s="20"/>
      <c r="C118" s="75"/>
      <c r="D118" s="132"/>
      <c r="E118" s="152" t="s">
        <v>56</v>
      </c>
      <c r="F118" s="108">
        <f>SUM(F79:F117)</f>
        <v>0</v>
      </c>
      <c r="V118" s="26"/>
      <c r="W118" s="23"/>
      <c r="X118" s="22"/>
    </row>
    <row r="119" spans="1:24" s="21" customFormat="1" x14ac:dyDescent="0.2">
      <c r="A119" s="28"/>
      <c r="B119" s="25"/>
      <c r="C119" s="76"/>
      <c r="D119" s="114"/>
      <c r="E119" s="148" t="s">
        <v>28</v>
      </c>
      <c r="F119" s="108"/>
      <c r="V119" s="26"/>
      <c r="W119" s="23"/>
      <c r="X119" s="22"/>
    </row>
    <row r="120" spans="1:24" s="21" customFormat="1" ht="15" x14ac:dyDescent="0.2">
      <c r="A120" s="36" t="s">
        <v>21</v>
      </c>
      <c r="B120" s="25"/>
      <c r="C120" s="76"/>
      <c r="D120" s="114"/>
      <c r="E120" s="148" t="s">
        <v>28</v>
      </c>
      <c r="F120" s="108"/>
      <c r="V120" s="26"/>
      <c r="W120" s="23"/>
      <c r="X120" s="22"/>
    </row>
    <row r="121" spans="1:24" s="21" customFormat="1" x14ac:dyDescent="0.2">
      <c r="A121" s="28"/>
      <c r="B121" s="25"/>
      <c r="C121" s="76"/>
      <c r="D121" s="114"/>
      <c r="E121" s="148" t="s">
        <v>28</v>
      </c>
      <c r="F121" s="108"/>
      <c r="V121" s="26"/>
      <c r="W121" s="23"/>
      <c r="X121" s="22"/>
    </row>
    <row r="122" spans="1:24" s="21" customFormat="1" ht="64.5" customHeight="1" x14ac:dyDescent="0.2">
      <c r="A122" s="19">
        <v>1</v>
      </c>
      <c r="B122" s="62" t="s">
        <v>67</v>
      </c>
      <c r="C122" s="75" t="s">
        <v>7</v>
      </c>
      <c r="D122" s="114">
        <f>((74.5+1.1*1.1)*0.1+1.1*0.6*0.3*3)*1.1</f>
        <v>8.9815000000000005</v>
      </c>
      <c r="E122" s="150"/>
      <c r="F122" s="108">
        <f>D122*E122</f>
        <v>0</v>
      </c>
      <c r="V122" s="26"/>
      <c r="W122" s="23"/>
      <c r="X122" s="22"/>
    </row>
    <row r="123" spans="1:24" s="21" customFormat="1" x14ac:dyDescent="0.2">
      <c r="A123" s="28"/>
      <c r="B123" s="25"/>
      <c r="C123" s="76"/>
      <c r="D123" s="115"/>
      <c r="E123" s="150"/>
      <c r="F123" s="108"/>
      <c r="V123" s="26"/>
      <c r="W123" s="23"/>
      <c r="X123" s="22"/>
    </row>
    <row r="124" spans="1:24" s="21" customFormat="1" ht="64.5" customHeight="1" x14ac:dyDescent="0.2">
      <c r="A124" s="19">
        <f>MAX(A120:A123)+1</f>
        <v>2</v>
      </c>
      <c r="B124" s="20" t="s">
        <v>68</v>
      </c>
      <c r="C124" s="75" t="s">
        <v>7</v>
      </c>
      <c r="D124" s="114">
        <f>0.3*((2*3.14*4.3^2+2*3.14*4.3*2.6)+(2*2.6*1.4+1.25*2+1.1*1.25*2)+(2*4.4*2.2+3.8*4.4*2+3.8*1.6*2)+(0.9*0.6+0.7*0.6*2+0.7*0.9*2))</f>
        <v>79.937280000000001</v>
      </c>
      <c r="E124" s="150"/>
      <c r="F124" s="108">
        <f>D124*E124</f>
        <v>0</v>
      </c>
      <c r="V124" s="26"/>
      <c r="W124" s="23"/>
      <c r="X124" s="22"/>
    </row>
    <row r="125" spans="1:24" s="21" customFormat="1" x14ac:dyDescent="0.2">
      <c r="A125" s="28"/>
      <c r="B125" s="25"/>
      <c r="C125" s="76"/>
      <c r="D125" s="115" t="s">
        <v>28</v>
      </c>
      <c r="E125" s="150"/>
      <c r="F125" s="108"/>
      <c r="V125" s="26"/>
      <c r="W125" s="23"/>
      <c r="X125" s="22"/>
    </row>
    <row r="126" spans="1:24" s="21" customFormat="1" ht="62.25" customHeight="1" x14ac:dyDescent="0.2">
      <c r="A126" s="19">
        <f>MAX(A122:A125)+1</f>
        <v>3</v>
      </c>
      <c r="B126" s="20" t="s">
        <v>79</v>
      </c>
      <c r="C126" s="75" t="s">
        <v>7</v>
      </c>
      <c r="D126" s="114">
        <f>1.1*46.2+3.5*1.6*0.1</f>
        <v>51.38000000000001</v>
      </c>
      <c r="E126" s="150"/>
      <c r="F126" s="108">
        <f>D126*E126</f>
        <v>0</v>
      </c>
      <c r="V126" s="26"/>
      <c r="W126" s="23"/>
      <c r="X126" s="22"/>
    </row>
    <row r="127" spans="1:24" s="21" customFormat="1" x14ac:dyDescent="0.2">
      <c r="A127" s="28"/>
      <c r="B127" s="20"/>
      <c r="C127" s="74"/>
      <c r="D127" s="115"/>
      <c r="E127" s="150"/>
      <c r="F127" s="108"/>
      <c r="V127" s="26"/>
      <c r="W127" s="23"/>
      <c r="X127" s="22"/>
    </row>
    <row r="128" spans="1:24" s="21" customFormat="1" ht="63" customHeight="1" x14ac:dyDescent="0.2">
      <c r="A128" s="19">
        <f>MAX(A124:A127)+1</f>
        <v>4</v>
      </c>
      <c r="B128" s="20" t="s">
        <v>80</v>
      </c>
      <c r="C128" s="75" t="s">
        <v>7</v>
      </c>
      <c r="D128" s="114">
        <f>1.2*1.6*0.1</f>
        <v>0.192</v>
      </c>
      <c r="E128" s="150"/>
      <c r="F128" s="108">
        <f>D128*E128</f>
        <v>0</v>
      </c>
      <c r="V128" s="26"/>
      <c r="W128" s="23"/>
      <c r="X128" s="22"/>
    </row>
    <row r="129" spans="1:24" s="21" customFormat="1" x14ac:dyDescent="0.2">
      <c r="A129" s="19"/>
      <c r="B129" s="20"/>
      <c r="C129" s="75"/>
      <c r="D129" s="114"/>
      <c r="E129" s="150"/>
      <c r="F129" s="108"/>
      <c r="V129" s="26"/>
      <c r="W129" s="23"/>
      <c r="X129" s="22"/>
    </row>
    <row r="130" spans="1:24" s="21" customFormat="1" ht="32.25" customHeight="1" x14ac:dyDescent="0.2">
      <c r="A130" s="19">
        <f>MAX(A124:A129)+1</f>
        <v>5</v>
      </c>
      <c r="B130" s="20" t="s">
        <v>97</v>
      </c>
      <c r="C130" s="75" t="s">
        <v>9</v>
      </c>
      <c r="D130" s="114">
        <v>2</v>
      </c>
      <c r="E130" s="150"/>
      <c r="F130" s="108">
        <f>D130*E130</f>
        <v>0</v>
      </c>
      <c r="V130" s="26"/>
      <c r="W130" s="23"/>
      <c r="X130" s="22"/>
    </row>
    <row r="131" spans="1:24" s="21" customFormat="1" x14ac:dyDescent="0.2">
      <c r="A131" s="19"/>
      <c r="B131" s="20"/>
      <c r="C131" s="75"/>
      <c r="D131" s="114"/>
      <c r="E131" s="150"/>
      <c r="F131" s="108"/>
      <c r="V131" s="26"/>
      <c r="W131" s="23"/>
      <c r="X131" s="22"/>
    </row>
    <row r="132" spans="1:24" s="21" customFormat="1" ht="33" customHeight="1" x14ac:dyDescent="0.2">
      <c r="A132" s="19">
        <f>MAX(A126:A131)+1</f>
        <v>6</v>
      </c>
      <c r="B132" s="20" t="s">
        <v>87</v>
      </c>
      <c r="C132" s="75" t="s">
        <v>7</v>
      </c>
      <c r="D132" s="114">
        <f>1.7*0.4*8*0.3*1.2</f>
        <v>1.9584000000000001</v>
      </c>
      <c r="E132" s="150"/>
      <c r="F132" s="108">
        <f>D132*E132</f>
        <v>0</v>
      </c>
      <c r="V132" s="26"/>
      <c r="W132" s="23"/>
      <c r="X132" s="22"/>
    </row>
    <row r="133" spans="1:24" s="21" customFormat="1" x14ac:dyDescent="0.2">
      <c r="A133" s="28"/>
      <c r="B133" s="25"/>
      <c r="C133" s="76"/>
      <c r="D133" s="115" t="s">
        <v>28</v>
      </c>
      <c r="E133" s="150"/>
      <c r="F133" s="108"/>
      <c r="V133" s="26"/>
      <c r="W133" s="23"/>
      <c r="X133" s="22"/>
    </row>
    <row r="134" spans="1:24" s="21" customFormat="1" ht="34.5" customHeight="1" x14ac:dyDescent="0.2">
      <c r="A134" s="19">
        <f>MAX(A126:A133)+1</f>
        <v>7</v>
      </c>
      <c r="B134" s="25" t="s">
        <v>37</v>
      </c>
      <c r="C134" s="76"/>
      <c r="D134" s="115"/>
      <c r="E134" s="150"/>
      <c r="F134" s="108"/>
      <c r="V134" s="26"/>
      <c r="W134" s="23"/>
      <c r="X134" s="22"/>
    </row>
    <row r="135" spans="1:24" s="21" customFormat="1" x14ac:dyDescent="0.2">
      <c r="A135" s="28"/>
      <c r="B135" s="25" t="s">
        <v>38</v>
      </c>
      <c r="C135" s="76" t="s">
        <v>41</v>
      </c>
      <c r="D135" s="114">
        <v>3530</v>
      </c>
      <c r="E135" s="150"/>
      <c r="F135" s="108">
        <f>D135*E135</f>
        <v>0</v>
      </c>
      <c r="V135" s="26"/>
      <c r="W135" s="23"/>
      <c r="X135" s="22"/>
    </row>
    <row r="136" spans="1:24" s="21" customFormat="1" x14ac:dyDescent="0.2">
      <c r="A136" s="28"/>
      <c r="B136" s="25" t="s">
        <v>39</v>
      </c>
      <c r="C136" s="76" t="s">
        <v>41</v>
      </c>
      <c r="D136" s="114">
        <v>1695</v>
      </c>
      <c r="E136" s="150"/>
      <c r="F136" s="108">
        <f>D136*E136</f>
        <v>0</v>
      </c>
      <c r="V136" s="26"/>
      <c r="W136" s="23"/>
      <c r="X136" s="22"/>
    </row>
    <row r="137" spans="1:24" s="21" customFormat="1" ht="15" thickBot="1" x14ac:dyDescent="0.25">
      <c r="A137" s="47"/>
      <c r="B137" s="48" t="s">
        <v>40</v>
      </c>
      <c r="C137" s="82" t="s">
        <v>41</v>
      </c>
      <c r="D137" s="133">
        <v>14350</v>
      </c>
      <c r="E137" s="151"/>
      <c r="F137" s="110">
        <f>D137*E137</f>
        <v>0</v>
      </c>
      <c r="V137" s="26"/>
      <c r="W137" s="23"/>
      <c r="X137" s="22"/>
    </row>
    <row r="138" spans="1:24" s="21" customFormat="1" ht="15.75" thickTop="1" x14ac:dyDescent="0.25">
      <c r="A138" s="28"/>
      <c r="B138" s="25"/>
      <c r="C138" s="83"/>
      <c r="D138" s="127"/>
      <c r="E138" s="152" t="s">
        <v>57</v>
      </c>
      <c r="F138" s="108">
        <f>SUM(F122:F137)</f>
        <v>0</v>
      </c>
      <c r="V138" s="26"/>
      <c r="W138" s="23"/>
      <c r="X138" s="22"/>
    </row>
    <row r="139" spans="1:24" s="21" customFormat="1" x14ac:dyDescent="0.2">
      <c r="A139" s="28"/>
      <c r="B139" s="25"/>
      <c r="C139" s="76"/>
      <c r="D139" s="114"/>
      <c r="E139" s="148" t="s">
        <v>28</v>
      </c>
      <c r="F139" s="108"/>
      <c r="V139" s="26"/>
      <c r="W139" s="23"/>
      <c r="X139" s="22"/>
    </row>
    <row r="140" spans="1:24" s="21" customFormat="1" ht="15" x14ac:dyDescent="0.2">
      <c r="A140" s="36" t="s">
        <v>22</v>
      </c>
      <c r="B140" s="25"/>
      <c r="C140" s="76"/>
      <c r="D140" s="114"/>
      <c r="E140" s="148" t="s">
        <v>28</v>
      </c>
      <c r="F140" s="108"/>
      <c r="V140" s="26"/>
      <c r="W140" s="23"/>
      <c r="X140" s="22"/>
    </row>
    <row r="141" spans="1:24" s="21" customFormat="1" x14ac:dyDescent="0.2">
      <c r="A141" s="28"/>
      <c r="B141" s="25"/>
      <c r="C141" s="76"/>
      <c r="D141" s="114"/>
      <c r="E141" s="148" t="s">
        <v>28</v>
      </c>
      <c r="F141" s="108"/>
      <c r="V141" s="26"/>
      <c r="W141" s="23"/>
      <c r="X141" s="22"/>
    </row>
    <row r="142" spans="1:24" s="21" customFormat="1" ht="65.25" customHeight="1" x14ac:dyDescent="0.2">
      <c r="A142" s="19">
        <v>1</v>
      </c>
      <c r="B142" s="25" t="s">
        <v>114</v>
      </c>
      <c r="C142" s="76" t="s">
        <v>8</v>
      </c>
      <c r="D142" s="114">
        <f>2*((2*3.14*4.3*2.6)+(1.25*2+1.1*1.25*2)+(3.8*4.4*2+3.8*1.6*2)+(0.7*0.6*2+0.7*0.9*2))</f>
        <v>246.32079999999999</v>
      </c>
      <c r="E142" s="150"/>
      <c r="F142" s="108">
        <f>D142*E142</f>
        <v>0</v>
      </c>
      <c r="V142" s="26"/>
      <c r="W142" s="23"/>
      <c r="X142" s="22"/>
    </row>
    <row r="143" spans="1:24" s="21" customFormat="1" x14ac:dyDescent="0.2">
      <c r="A143" s="28"/>
      <c r="B143" s="25"/>
      <c r="C143" s="76"/>
      <c r="D143" s="115" t="s">
        <v>28</v>
      </c>
      <c r="E143" s="150"/>
      <c r="F143" s="108"/>
      <c r="V143" s="26"/>
      <c r="W143" s="23"/>
      <c r="X143" s="22"/>
    </row>
    <row r="144" spans="1:24" s="21" customFormat="1" ht="78" customHeight="1" x14ac:dyDescent="0.2">
      <c r="A144" s="19">
        <f>MAX(A142:A143)+1</f>
        <v>2</v>
      </c>
      <c r="B144" s="25" t="s">
        <v>115</v>
      </c>
      <c r="C144" s="76" t="s">
        <v>8</v>
      </c>
      <c r="D144" s="114">
        <f>((3.14*4.3^2)+(2.6*1.4)+(4.4*2.2))</f>
        <v>71.378600000000006</v>
      </c>
      <c r="E144" s="150"/>
      <c r="F144" s="108">
        <f>D144*E144</f>
        <v>0</v>
      </c>
      <c r="V144" s="26"/>
      <c r="W144" s="23"/>
      <c r="X144" s="22"/>
    </row>
    <row r="145" spans="1:24" s="21" customFormat="1" x14ac:dyDescent="0.2">
      <c r="A145" s="28"/>
      <c r="B145" s="25"/>
      <c r="C145" s="76"/>
      <c r="D145" s="115" t="s">
        <v>28</v>
      </c>
      <c r="E145" s="150"/>
      <c r="F145" s="108"/>
      <c r="V145" s="26"/>
      <c r="W145" s="23"/>
      <c r="X145" s="22"/>
    </row>
    <row r="146" spans="1:24" s="21" customFormat="1" ht="50.25" customHeight="1" x14ac:dyDescent="0.2">
      <c r="A146" s="19">
        <f>MAX(A142:A145)+1</f>
        <v>3</v>
      </c>
      <c r="B146" s="25" t="s">
        <v>116</v>
      </c>
      <c r="C146" s="76" t="s">
        <v>8</v>
      </c>
      <c r="D146" s="114">
        <f>((2*3.14*4.3*0.3)+(2.6*0.3+2*1.4*0.3)+(2*4.4*0.3+2.2*0.3))</f>
        <v>13.0212</v>
      </c>
      <c r="E146" s="150"/>
      <c r="F146" s="108">
        <f>D146*E146</f>
        <v>0</v>
      </c>
      <c r="V146" s="26"/>
      <c r="W146" s="23"/>
      <c r="X146" s="22"/>
    </row>
    <row r="147" spans="1:24" s="21" customFormat="1" x14ac:dyDescent="0.2">
      <c r="A147" s="28"/>
      <c r="B147" s="25"/>
      <c r="C147" s="76"/>
      <c r="D147" s="115" t="s">
        <v>28</v>
      </c>
      <c r="E147" s="150"/>
      <c r="F147" s="108"/>
      <c r="V147" s="26"/>
      <c r="W147" s="23"/>
      <c r="X147" s="22"/>
    </row>
    <row r="148" spans="1:24" s="21" customFormat="1" ht="54" customHeight="1" x14ac:dyDescent="0.2">
      <c r="A148" s="19">
        <f>MAX(A143:A147)+1</f>
        <v>4</v>
      </c>
      <c r="B148" s="25" t="s">
        <v>117</v>
      </c>
      <c r="C148" s="76" t="s">
        <v>8</v>
      </c>
      <c r="D148" s="114">
        <f>((2*3.14*4.3*0.3)+(2.6*0.3+2*1.4*0.3)+(2*4.4*0.3+2.2*0.3))</f>
        <v>13.0212</v>
      </c>
      <c r="E148" s="150"/>
      <c r="F148" s="108">
        <f>D148*E148</f>
        <v>0</v>
      </c>
      <c r="V148" s="26"/>
      <c r="W148" s="23"/>
      <c r="X148" s="22"/>
    </row>
    <row r="149" spans="1:24" s="21" customFormat="1" x14ac:dyDescent="0.2">
      <c r="A149" s="28"/>
      <c r="B149" s="25"/>
      <c r="C149" s="76"/>
      <c r="D149" s="115"/>
      <c r="E149" s="150"/>
      <c r="F149" s="108"/>
      <c r="V149" s="26"/>
      <c r="W149" s="23"/>
      <c r="X149" s="22"/>
    </row>
    <row r="150" spans="1:24" s="21" customFormat="1" ht="51.75" customHeight="1" x14ac:dyDescent="0.2">
      <c r="A150" s="19">
        <f>MAX(A145:A149)+1</f>
        <v>5</v>
      </c>
      <c r="B150" s="25" t="s">
        <v>118</v>
      </c>
      <c r="C150" s="76" t="s">
        <v>8</v>
      </c>
      <c r="D150" s="114">
        <f>6*0.5*2+1.7*8*0.3</f>
        <v>10.08</v>
      </c>
      <c r="E150" s="150"/>
      <c r="F150" s="108">
        <f>D150*E150</f>
        <v>0</v>
      </c>
      <c r="V150" s="26"/>
      <c r="W150" s="23"/>
      <c r="X150" s="22"/>
    </row>
    <row r="151" spans="1:24" s="21" customFormat="1" x14ac:dyDescent="0.2">
      <c r="A151" s="28"/>
      <c r="B151" s="25"/>
      <c r="C151" s="76"/>
      <c r="D151" s="115"/>
      <c r="E151" s="150"/>
      <c r="F151" s="108"/>
      <c r="V151" s="26"/>
      <c r="W151" s="23"/>
      <c r="X151" s="22"/>
    </row>
    <row r="152" spans="1:24" s="21" customFormat="1" ht="67.5" customHeight="1" x14ac:dyDescent="0.2">
      <c r="A152" s="19">
        <f>MAX(A146:A150)+1</f>
        <v>6</v>
      </c>
      <c r="B152" s="25" t="s">
        <v>119</v>
      </c>
      <c r="C152" s="18" t="s">
        <v>8</v>
      </c>
      <c r="D152" s="114">
        <f>0.8*0.3*4*4*2</f>
        <v>7.68</v>
      </c>
      <c r="E152" s="150"/>
      <c r="F152" s="108">
        <f>D152*E152</f>
        <v>0</v>
      </c>
      <c r="V152" s="26"/>
      <c r="W152" s="23"/>
      <c r="X152" s="22"/>
    </row>
    <row r="153" spans="1:24" s="21" customFormat="1" x14ac:dyDescent="0.2">
      <c r="A153" s="28"/>
      <c r="B153" s="25"/>
      <c r="C153" s="76"/>
      <c r="D153" s="115" t="s">
        <v>28</v>
      </c>
      <c r="E153" s="150"/>
      <c r="F153" s="108"/>
      <c r="V153" s="26"/>
      <c r="W153" s="23"/>
      <c r="X153" s="22"/>
    </row>
    <row r="154" spans="1:24" s="21" customFormat="1" ht="66.75" customHeight="1" x14ac:dyDescent="0.2">
      <c r="A154" s="19">
        <f>MAX(A152:A153)+1</f>
        <v>7</v>
      </c>
      <c r="B154" s="25" t="s">
        <v>120</v>
      </c>
      <c r="C154" s="18" t="s">
        <v>8</v>
      </c>
      <c r="D154" s="114">
        <f>1*0.3*4*1*2</f>
        <v>2.4</v>
      </c>
      <c r="E154" s="150"/>
      <c r="F154" s="108">
        <f>D154*E154</f>
        <v>0</v>
      </c>
      <c r="V154" s="26"/>
      <c r="W154" s="23"/>
      <c r="X154" s="22"/>
    </row>
    <row r="155" spans="1:24" s="21" customFormat="1" x14ac:dyDescent="0.2">
      <c r="A155" s="28"/>
      <c r="B155" s="25"/>
      <c r="C155" s="76"/>
      <c r="D155" s="115" t="s">
        <v>28</v>
      </c>
      <c r="E155" s="150"/>
      <c r="F155" s="108"/>
      <c r="V155" s="26"/>
      <c r="W155" s="23"/>
      <c r="X155" s="22"/>
    </row>
    <row r="156" spans="1:24" s="21" customFormat="1" ht="63.75" customHeight="1" x14ac:dyDescent="0.2">
      <c r="A156" s="19">
        <f>MAX(A154:A155)+1</f>
        <v>8</v>
      </c>
      <c r="B156" s="25" t="s">
        <v>121</v>
      </c>
      <c r="C156" s="18" t="s">
        <v>9</v>
      </c>
      <c r="D156" s="114">
        <v>4</v>
      </c>
      <c r="E156" s="150"/>
      <c r="F156" s="108">
        <f>D156*E156</f>
        <v>0</v>
      </c>
      <c r="V156" s="26"/>
      <c r="W156" s="23"/>
      <c r="X156" s="22"/>
    </row>
    <row r="157" spans="1:24" s="21" customFormat="1" x14ac:dyDescent="0.2">
      <c r="A157" s="28"/>
      <c r="B157" s="25"/>
      <c r="C157" s="76"/>
      <c r="D157" s="115" t="s">
        <v>28</v>
      </c>
      <c r="E157" s="150"/>
      <c r="F157" s="108"/>
      <c r="V157" s="26"/>
      <c r="W157" s="23"/>
      <c r="X157" s="22"/>
    </row>
    <row r="158" spans="1:24" s="21" customFormat="1" ht="79.5" customHeight="1" thickBot="1" x14ac:dyDescent="0.25">
      <c r="A158" s="19">
        <f>MAX(A155:A157)+1</f>
        <v>9</v>
      </c>
      <c r="B158" s="61" t="s">
        <v>66</v>
      </c>
      <c r="C158" s="84" t="s">
        <v>9</v>
      </c>
      <c r="D158" s="134">
        <v>3</v>
      </c>
      <c r="E158" s="151"/>
      <c r="F158" s="110">
        <f>D158*E158</f>
        <v>0</v>
      </c>
      <c r="V158" s="26"/>
      <c r="W158" s="23"/>
      <c r="X158" s="22"/>
    </row>
    <row r="159" spans="1:24" s="21" customFormat="1" ht="15.75" thickTop="1" x14ac:dyDescent="0.25">
      <c r="A159" s="19"/>
      <c r="B159" s="25"/>
      <c r="C159" s="18"/>
      <c r="D159" s="135"/>
      <c r="E159" s="152" t="s">
        <v>58</v>
      </c>
      <c r="F159" s="108">
        <f>SUM(F142:F158)</f>
        <v>0</v>
      </c>
      <c r="V159" s="26"/>
      <c r="W159" s="23"/>
      <c r="X159" s="22"/>
    </row>
    <row r="160" spans="1:24" s="21" customFormat="1" ht="15" x14ac:dyDescent="0.25">
      <c r="A160" s="28"/>
      <c r="B160" s="25"/>
      <c r="C160" s="80"/>
      <c r="D160" s="114"/>
      <c r="E160" s="153" t="s">
        <v>28</v>
      </c>
      <c r="F160" s="108"/>
      <c r="V160" s="26"/>
      <c r="W160" s="23"/>
      <c r="X160" s="22"/>
    </row>
    <row r="161" spans="1:24" s="21" customFormat="1" ht="15" x14ac:dyDescent="0.2">
      <c r="A161" s="36" t="s">
        <v>23</v>
      </c>
      <c r="B161" s="25"/>
      <c r="C161" s="80"/>
      <c r="D161" s="114"/>
      <c r="E161" s="148" t="s">
        <v>28</v>
      </c>
      <c r="F161" s="108"/>
      <c r="V161" s="26"/>
      <c r="W161" s="23"/>
      <c r="X161" s="22"/>
    </row>
    <row r="162" spans="1:24" s="21" customFormat="1" x14ac:dyDescent="0.2">
      <c r="A162" s="28"/>
      <c r="B162" s="25"/>
      <c r="C162" s="80"/>
      <c r="D162" s="114"/>
      <c r="E162" s="148" t="s">
        <v>28</v>
      </c>
      <c r="F162" s="108"/>
      <c r="V162" s="26"/>
      <c r="W162" s="23"/>
      <c r="X162" s="22"/>
    </row>
    <row r="163" spans="1:24" s="21" customFormat="1" ht="70.5" customHeight="1" x14ac:dyDescent="0.2">
      <c r="A163" s="28">
        <v>1</v>
      </c>
      <c r="B163" s="25" t="s">
        <v>69</v>
      </c>
      <c r="C163" s="80" t="s">
        <v>44</v>
      </c>
      <c r="D163" s="115">
        <v>1</v>
      </c>
      <c r="E163" s="150"/>
      <c r="F163" s="108">
        <f>D163*E163</f>
        <v>0</v>
      </c>
      <c r="V163" s="26"/>
      <c r="W163" s="23"/>
      <c r="X163" s="22"/>
    </row>
    <row r="164" spans="1:24" s="21" customFormat="1" x14ac:dyDescent="0.2">
      <c r="A164" s="28"/>
      <c r="B164" s="25"/>
      <c r="C164" s="80"/>
      <c r="D164" s="115"/>
      <c r="E164" s="150"/>
      <c r="F164" s="108"/>
      <c r="V164" s="26"/>
      <c r="W164" s="23"/>
      <c r="X164" s="22"/>
    </row>
    <row r="165" spans="1:24" s="21" customFormat="1" ht="46.5" customHeight="1" x14ac:dyDescent="0.2">
      <c r="A165" s="19">
        <f>MAX(A161:A163)+1</f>
        <v>2</v>
      </c>
      <c r="B165" s="25" t="s">
        <v>42</v>
      </c>
      <c r="C165" s="18" t="s">
        <v>8</v>
      </c>
      <c r="D165" s="114">
        <f>((3.14*4.3^2)+(2.6*1.4)+(4.1*2.2))*1.1</f>
        <v>77.790459999999996</v>
      </c>
      <c r="E165" s="150"/>
      <c r="F165" s="108">
        <f>D165*E165</f>
        <v>0</v>
      </c>
      <c r="V165" s="26"/>
      <c r="W165" s="23"/>
      <c r="X165" s="22"/>
    </row>
    <row r="166" spans="1:24" s="21" customFormat="1" x14ac:dyDescent="0.2">
      <c r="A166" s="28"/>
      <c r="B166" s="25"/>
      <c r="C166" s="80"/>
      <c r="D166" s="115" t="s">
        <v>28</v>
      </c>
      <c r="E166" s="150"/>
      <c r="F166" s="108"/>
      <c r="V166" s="26"/>
      <c r="W166" s="23"/>
      <c r="X166" s="22"/>
    </row>
    <row r="167" spans="1:24" s="21" customFormat="1" ht="47.25" customHeight="1" x14ac:dyDescent="0.2">
      <c r="A167" s="19">
        <f>MAX(A160:A166)+1</f>
        <v>3</v>
      </c>
      <c r="B167" s="25" t="s">
        <v>43</v>
      </c>
      <c r="C167" s="18" t="s">
        <v>8</v>
      </c>
      <c r="D167" s="114">
        <f>1.1*((2*3.14*4.3*2.9)+(1.55*2.6+1.4*1.55*2)+(4.1*4.1*2+4.1*2.2)+(0.7*0.6*2+0.7*0.9))</f>
        <v>143.87075999999999</v>
      </c>
      <c r="E167" s="150"/>
      <c r="F167" s="108">
        <f>D167*E167</f>
        <v>0</v>
      </c>
      <c r="V167" s="26"/>
      <c r="W167" s="23"/>
      <c r="X167" s="22"/>
    </row>
    <row r="168" spans="1:24" s="21" customFormat="1" x14ac:dyDescent="0.2">
      <c r="A168" s="28"/>
      <c r="B168" s="25"/>
      <c r="C168" s="80"/>
      <c r="D168" s="115" t="s">
        <v>28</v>
      </c>
      <c r="E168" s="150"/>
      <c r="F168" s="108"/>
      <c r="V168" s="26"/>
      <c r="W168" s="23"/>
      <c r="X168" s="22"/>
    </row>
    <row r="169" spans="1:24" s="21" customFormat="1" ht="49.5" customHeight="1" x14ac:dyDescent="0.2">
      <c r="A169" s="19">
        <f>MAX(A161:A168)+1</f>
        <v>4</v>
      </c>
      <c r="B169" s="25" t="s">
        <v>70</v>
      </c>
      <c r="C169" s="18" t="s">
        <v>8</v>
      </c>
      <c r="D169" s="114">
        <f>D167</f>
        <v>143.87075999999999</v>
      </c>
      <c r="E169" s="150"/>
      <c r="F169" s="108">
        <f>D169*E169</f>
        <v>0</v>
      </c>
      <c r="V169" s="26"/>
      <c r="W169" s="23"/>
      <c r="X169" s="22"/>
    </row>
    <row r="170" spans="1:24" s="21" customFormat="1" x14ac:dyDescent="0.2">
      <c r="A170" s="28"/>
      <c r="B170" s="25"/>
      <c r="C170" s="80"/>
      <c r="D170" s="115"/>
      <c r="E170" s="150"/>
      <c r="F170" s="108"/>
      <c r="V170" s="26"/>
      <c r="W170" s="23"/>
      <c r="X170" s="22"/>
    </row>
    <row r="171" spans="1:24" s="21" customFormat="1" ht="33" customHeight="1" x14ac:dyDescent="0.2">
      <c r="A171" s="19">
        <f>MAX(A163:A170)+1</f>
        <v>5</v>
      </c>
      <c r="B171" s="25" t="s">
        <v>127</v>
      </c>
      <c r="C171" s="18" t="s">
        <v>8</v>
      </c>
      <c r="D171" s="114">
        <f>D165</f>
        <v>77.790459999999996</v>
      </c>
      <c r="E171" s="150"/>
      <c r="F171" s="108">
        <f>D171*E171</f>
        <v>0</v>
      </c>
      <c r="V171" s="26"/>
      <c r="W171" s="23"/>
      <c r="X171" s="22"/>
    </row>
    <row r="172" spans="1:24" s="21" customFormat="1" x14ac:dyDescent="0.2">
      <c r="A172" s="28"/>
      <c r="B172" s="25"/>
      <c r="C172" s="80"/>
      <c r="D172" s="115" t="s">
        <v>28</v>
      </c>
      <c r="E172" s="150"/>
      <c r="F172" s="108"/>
      <c r="V172" s="26"/>
      <c r="W172" s="23"/>
      <c r="X172" s="22"/>
    </row>
    <row r="173" spans="1:24" s="21" customFormat="1" ht="49.5" customHeight="1" x14ac:dyDescent="0.2">
      <c r="A173" s="19">
        <f>MAX(A167:A172)+1</f>
        <v>6</v>
      </c>
      <c r="B173" s="25" t="s">
        <v>81</v>
      </c>
      <c r="C173" s="76" t="s">
        <v>9</v>
      </c>
      <c r="D173" s="115">
        <v>4</v>
      </c>
      <c r="E173" s="150"/>
      <c r="F173" s="108">
        <f>D173*E173</f>
        <v>0</v>
      </c>
      <c r="V173" s="26"/>
      <c r="W173" s="23"/>
      <c r="X173" s="22"/>
    </row>
    <row r="174" spans="1:24" s="21" customFormat="1" x14ac:dyDescent="0.2">
      <c r="A174" s="28"/>
      <c r="B174" s="25"/>
      <c r="C174" s="80"/>
      <c r="D174" s="115"/>
      <c r="E174" s="150"/>
      <c r="F174" s="108"/>
      <c r="V174" s="26"/>
      <c r="W174" s="23"/>
      <c r="X174" s="22"/>
    </row>
    <row r="175" spans="1:24" s="21" customFormat="1" ht="48.75" customHeight="1" x14ac:dyDescent="0.2">
      <c r="A175" s="19">
        <f>MAX(A170:A173)+1</f>
        <v>7</v>
      </c>
      <c r="B175" s="25" t="s">
        <v>82</v>
      </c>
      <c r="C175" s="76" t="s">
        <v>9</v>
      </c>
      <c r="D175" s="115">
        <v>1</v>
      </c>
      <c r="E175" s="150"/>
      <c r="F175" s="108">
        <f>D175*E175</f>
        <v>0</v>
      </c>
      <c r="V175" s="26"/>
      <c r="W175" s="23"/>
      <c r="X175" s="22"/>
    </row>
    <row r="176" spans="1:24" s="21" customFormat="1" x14ac:dyDescent="0.2">
      <c r="A176" s="28"/>
      <c r="B176" s="25"/>
      <c r="C176" s="80"/>
      <c r="D176" s="115"/>
      <c r="E176" s="150"/>
      <c r="F176" s="108"/>
      <c r="V176" s="26"/>
      <c r="W176" s="23"/>
      <c r="X176" s="22"/>
    </row>
    <row r="177" spans="1:24" s="21" customFormat="1" ht="48" customHeight="1" x14ac:dyDescent="0.2">
      <c r="A177" s="19">
        <f>MAX(A171:A176)+1</f>
        <v>8</v>
      </c>
      <c r="B177" s="20" t="s">
        <v>122</v>
      </c>
      <c r="C177" s="85"/>
      <c r="D177" s="115"/>
      <c r="E177" s="150"/>
      <c r="F177" s="112"/>
      <c r="V177" s="26"/>
      <c r="W177" s="23"/>
      <c r="X177" s="22"/>
    </row>
    <row r="178" spans="1:24" s="21" customFormat="1" x14ac:dyDescent="0.2">
      <c r="A178" s="37"/>
      <c r="B178" s="20" t="s">
        <v>83</v>
      </c>
      <c r="C178" s="85" t="s">
        <v>44</v>
      </c>
      <c r="D178" s="129">
        <v>88</v>
      </c>
      <c r="E178" s="150"/>
      <c r="F178" s="108">
        <f>D178*E178</f>
        <v>0</v>
      </c>
      <c r="V178" s="26"/>
      <c r="W178" s="23"/>
      <c r="X178" s="22"/>
    </row>
    <row r="179" spans="1:24" s="21" customFormat="1" x14ac:dyDescent="0.2">
      <c r="A179" s="37"/>
      <c r="B179" s="20"/>
      <c r="C179" s="86"/>
      <c r="D179" s="130"/>
      <c r="E179" s="150"/>
      <c r="F179" s="112"/>
      <c r="V179" s="26"/>
      <c r="W179" s="23"/>
      <c r="X179" s="22"/>
    </row>
    <row r="180" spans="1:24" s="21" customFormat="1" ht="159.75" customHeight="1" x14ac:dyDescent="0.2">
      <c r="A180" s="19">
        <f>MAX(A173:A179)+1</f>
        <v>9</v>
      </c>
      <c r="B180" s="25" t="s">
        <v>123</v>
      </c>
      <c r="C180" s="79"/>
      <c r="D180" s="115"/>
      <c r="E180" s="150"/>
      <c r="F180" s="112"/>
      <c r="V180" s="26"/>
      <c r="W180" s="23"/>
      <c r="X180" s="22"/>
    </row>
    <row r="181" spans="1:24" s="21" customFormat="1" x14ac:dyDescent="0.2">
      <c r="A181" s="37"/>
      <c r="B181" s="20" t="s">
        <v>84</v>
      </c>
      <c r="C181" s="79" t="s">
        <v>9</v>
      </c>
      <c r="D181" s="114">
        <v>2</v>
      </c>
      <c r="E181" s="150"/>
      <c r="F181" s="108">
        <f>D181*E181</f>
        <v>0</v>
      </c>
      <c r="V181" s="26"/>
      <c r="W181" s="23"/>
      <c r="X181" s="22"/>
    </row>
    <row r="182" spans="1:24" s="21" customFormat="1" x14ac:dyDescent="0.2">
      <c r="A182" s="37"/>
      <c r="B182" s="20" t="s">
        <v>85</v>
      </c>
      <c r="C182" s="79" t="s">
        <v>9</v>
      </c>
      <c r="D182" s="114">
        <v>2</v>
      </c>
      <c r="E182" s="150"/>
      <c r="F182" s="108">
        <f>D182*E182</f>
        <v>0</v>
      </c>
      <c r="V182" s="26"/>
      <c r="W182" s="23"/>
      <c r="X182" s="22"/>
    </row>
    <row r="183" spans="1:24" s="21" customFormat="1" x14ac:dyDescent="0.2">
      <c r="A183" s="28"/>
      <c r="B183" s="20"/>
      <c r="C183" s="86"/>
      <c r="D183" s="130"/>
      <c r="E183" s="150"/>
      <c r="F183" s="108"/>
      <c r="V183" s="26"/>
      <c r="W183" s="23"/>
      <c r="X183" s="22"/>
    </row>
    <row r="184" spans="1:24" s="21" customFormat="1" ht="66" customHeight="1" x14ac:dyDescent="0.2">
      <c r="A184" s="19">
        <f>MAX(A170:A183)+1</f>
        <v>10</v>
      </c>
      <c r="B184" s="25" t="s">
        <v>124</v>
      </c>
      <c r="C184" s="18" t="s">
        <v>9</v>
      </c>
      <c r="D184" s="114">
        <v>5</v>
      </c>
      <c r="E184" s="150"/>
      <c r="F184" s="108">
        <f>D184*E184</f>
        <v>0</v>
      </c>
      <c r="V184" s="26"/>
      <c r="W184" s="23"/>
      <c r="X184" s="22"/>
    </row>
    <row r="185" spans="1:24" s="21" customFormat="1" x14ac:dyDescent="0.2">
      <c r="A185" s="28"/>
      <c r="B185" s="25"/>
      <c r="C185" s="80"/>
      <c r="D185" s="115"/>
      <c r="E185" s="150"/>
      <c r="F185" s="108"/>
      <c r="V185" s="26"/>
      <c r="W185" s="23"/>
      <c r="X185" s="22"/>
    </row>
    <row r="186" spans="1:24" s="21" customFormat="1" ht="32.25" customHeight="1" x14ac:dyDescent="0.2">
      <c r="A186" s="19">
        <f>MAX(A179:A185)+1</f>
        <v>11</v>
      </c>
      <c r="B186" s="25" t="s">
        <v>45</v>
      </c>
      <c r="C186" s="18" t="s">
        <v>9</v>
      </c>
      <c r="D186" s="114">
        <v>1</v>
      </c>
      <c r="E186" s="150"/>
      <c r="F186" s="108">
        <f>D186*E186</f>
        <v>0</v>
      </c>
      <c r="V186" s="26"/>
      <c r="W186" s="23"/>
      <c r="X186" s="22"/>
    </row>
    <row r="187" spans="1:24" s="21" customFormat="1" x14ac:dyDescent="0.2">
      <c r="A187" s="28"/>
      <c r="B187" s="25"/>
      <c r="C187" s="80"/>
      <c r="D187" s="115"/>
      <c r="E187" s="150"/>
      <c r="F187" s="108"/>
      <c r="V187" s="26"/>
      <c r="W187" s="23"/>
      <c r="X187" s="22"/>
    </row>
    <row r="188" spans="1:24" s="21" customFormat="1" ht="51" customHeight="1" x14ac:dyDescent="0.2">
      <c r="A188" s="19">
        <f>MAX(A181:A187)+1</f>
        <v>12</v>
      </c>
      <c r="B188" s="20" t="s">
        <v>89</v>
      </c>
      <c r="C188" s="75" t="s">
        <v>88</v>
      </c>
      <c r="D188" s="129">
        <v>12</v>
      </c>
      <c r="E188" s="150"/>
      <c r="F188" s="108">
        <f>D188*E188</f>
        <v>0</v>
      </c>
      <c r="V188" s="26"/>
      <c r="W188" s="23"/>
      <c r="X188" s="22"/>
    </row>
    <row r="189" spans="1:24" s="21" customFormat="1" x14ac:dyDescent="0.2">
      <c r="A189" s="37"/>
      <c r="B189" s="34"/>
      <c r="C189" s="87"/>
      <c r="D189" s="136"/>
      <c r="E189" s="150"/>
      <c r="F189" s="108"/>
      <c r="V189" s="26"/>
      <c r="W189" s="23"/>
      <c r="X189" s="22"/>
    </row>
    <row r="190" spans="1:24" s="21" customFormat="1" ht="33" customHeight="1" thickBot="1" x14ac:dyDescent="0.25">
      <c r="A190" s="19">
        <f>MAX(A182:A189)+1</f>
        <v>13</v>
      </c>
      <c r="B190" s="48" t="s">
        <v>86</v>
      </c>
      <c r="C190" s="88" t="s">
        <v>29</v>
      </c>
      <c r="D190" s="131">
        <v>1</v>
      </c>
      <c r="E190" s="151"/>
      <c r="F190" s="110">
        <f>D190*E190</f>
        <v>0</v>
      </c>
      <c r="V190" s="26"/>
      <c r="W190" s="23"/>
      <c r="X190" s="22"/>
    </row>
    <row r="191" spans="1:24" s="21" customFormat="1" ht="15.75" thickTop="1" x14ac:dyDescent="0.25">
      <c r="A191" s="37"/>
      <c r="B191" s="38"/>
      <c r="C191" s="89"/>
      <c r="D191" s="137"/>
      <c r="E191" s="152" t="s">
        <v>60</v>
      </c>
      <c r="F191" s="108">
        <f>SUM(F163:F190)</f>
        <v>0</v>
      </c>
      <c r="V191" s="26"/>
      <c r="W191" s="23"/>
      <c r="X191" s="22"/>
    </row>
    <row r="192" spans="1:24" s="21" customFormat="1" x14ac:dyDescent="0.2">
      <c r="A192" s="28"/>
      <c r="B192" s="25"/>
      <c r="C192" s="80"/>
      <c r="D192" s="114"/>
      <c r="E192" s="148" t="s">
        <v>28</v>
      </c>
      <c r="F192" s="108"/>
      <c r="V192" s="26"/>
      <c r="W192" s="23"/>
      <c r="X192" s="22"/>
    </row>
    <row r="193" spans="1:24" s="21" customFormat="1" ht="15" x14ac:dyDescent="0.2">
      <c r="A193" s="36" t="s">
        <v>26</v>
      </c>
      <c r="B193" s="25"/>
      <c r="C193" s="80"/>
      <c r="D193" s="114"/>
      <c r="E193" s="148" t="s">
        <v>28</v>
      </c>
      <c r="F193" s="108"/>
      <c r="V193" s="26"/>
      <c r="W193" s="23"/>
      <c r="X193" s="22"/>
    </row>
    <row r="194" spans="1:24" s="21" customFormat="1" x14ac:dyDescent="0.2">
      <c r="A194" s="28"/>
      <c r="B194" s="25"/>
      <c r="C194" s="80"/>
      <c r="D194" s="114"/>
      <c r="E194" s="148"/>
      <c r="F194" s="108"/>
      <c r="V194" s="26"/>
      <c r="W194" s="23"/>
      <c r="X194" s="22"/>
    </row>
    <row r="195" spans="1:24" s="21" customFormat="1" ht="110.25" customHeight="1" x14ac:dyDescent="0.2">
      <c r="A195" s="19">
        <v>1</v>
      </c>
      <c r="B195" s="44" t="s">
        <v>92</v>
      </c>
      <c r="C195" s="76" t="s">
        <v>29</v>
      </c>
      <c r="D195" s="115">
        <v>1</v>
      </c>
      <c r="E195" s="150"/>
      <c r="F195" s="108">
        <f>D195*E195</f>
        <v>0</v>
      </c>
      <c r="V195" s="26"/>
      <c r="W195" s="23"/>
      <c r="X195" s="22"/>
    </row>
    <row r="196" spans="1:24" s="21" customFormat="1" x14ac:dyDescent="0.2">
      <c r="A196" s="28"/>
      <c r="B196" s="25"/>
      <c r="C196" s="80"/>
      <c r="D196" s="115"/>
      <c r="E196" s="150"/>
      <c r="F196" s="108"/>
      <c r="V196" s="26"/>
      <c r="W196" s="23"/>
      <c r="X196" s="22"/>
    </row>
    <row r="197" spans="1:24" s="21" customFormat="1" ht="32.25" customHeight="1" x14ac:dyDescent="0.2">
      <c r="A197" s="28">
        <v>2</v>
      </c>
      <c r="B197" s="50" t="s">
        <v>98</v>
      </c>
      <c r="C197" s="80" t="s">
        <v>9</v>
      </c>
      <c r="D197" s="115">
        <v>1</v>
      </c>
      <c r="E197" s="150"/>
      <c r="F197" s="108">
        <f>D197*E197</f>
        <v>0</v>
      </c>
      <c r="V197" s="26"/>
      <c r="W197" s="23"/>
      <c r="X197" s="22"/>
    </row>
    <row r="198" spans="1:24" s="21" customFormat="1" x14ac:dyDescent="0.2">
      <c r="A198" s="28"/>
      <c r="B198" s="25"/>
      <c r="C198" s="80"/>
      <c r="D198" s="115"/>
      <c r="E198" s="150"/>
      <c r="F198" s="108"/>
      <c r="V198" s="26"/>
      <c r="W198" s="23"/>
      <c r="X198" s="22"/>
    </row>
    <row r="199" spans="1:24" s="21" customFormat="1" ht="81.75" customHeight="1" thickBot="1" x14ac:dyDescent="0.25">
      <c r="A199" s="47">
        <v>3</v>
      </c>
      <c r="B199" s="61" t="s">
        <v>71</v>
      </c>
      <c r="C199" s="88" t="s">
        <v>9</v>
      </c>
      <c r="D199" s="131">
        <v>4</v>
      </c>
      <c r="E199" s="151"/>
      <c r="F199" s="110">
        <f>D199*E199</f>
        <v>0</v>
      </c>
      <c r="V199" s="26"/>
      <c r="W199" s="23"/>
      <c r="X199" s="22"/>
    </row>
    <row r="200" spans="1:24" s="21" customFormat="1" ht="15.75" thickTop="1" x14ac:dyDescent="0.25">
      <c r="A200" s="28"/>
      <c r="B200" s="25"/>
      <c r="C200" s="80"/>
      <c r="D200" s="138"/>
      <c r="E200" s="152" t="s">
        <v>59</v>
      </c>
      <c r="F200" s="108">
        <f>SUM(F195:F199)</f>
        <v>0</v>
      </c>
      <c r="V200" s="26"/>
      <c r="W200" s="23"/>
      <c r="X200" s="22"/>
    </row>
    <row r="201" spans="1:24" s="21" customFormat="1" x14ac:dyDescent="0.2">
      <c r="A201" s="19"/>
      <c r="B201" s="25"/>
      <c r="C201" s="74"/>
      <c r="D201" s="125"/>
      <c r="E201" s="148" t="s">
        <v>28</v>
      </c>
      <c r="F201" s="111"/>
      <c r="V201" s="26"/>
      <c r="W201" s="23">
        <f t="shared" ref="W201:W211" si="0">V201*0.1</f>
        <v>0</v>
      </c>
      <c r="X201" s="22">
        <f>V201+W201</f>
        <v>0</v>
      </c>
    </row>
    <row r="202" spans="1:24" s="21" customFormat="1" ht="15" x14ac:dyDescent="0.2">
      <c r="A202" s="36" t="s">
        <v>24</v>
      </c>
      <c r="B202" s="25"/>
      <c r="C202" s="80"/>
      <c r="D202" s="114"/>
      <c r="E202" s="148" t="s">
        <v>28</v>
      </c>
      <c r="F202" s="108"/>
      <c r="V202" s="26"/>
      <c r="W202" s="23"/>
      <c r="X202" s="22"/>
    </row>
    <row r="203" spans="1:24" s="21" customFormat="1" x14ac:dyDescent="0.2">
      <c r="A203" s="19"/>
      <c r="B203" s="25"/>
      <c r="C203" s="74"/>
      <c r="D203" s="125"/>
      <c r="E203" s="148" t="s">
        <v>28</v>
      </c>
      <c r="F203" s="111"/>
      <c r="V203" s="26"/>
      <c r="W203" s="23"/>
      <c r="X203" s="22"/>
    </row>
    <row r="204" spans="1:24" s="21" customFormat="1" ht="62.25" customHeight="1" x14ac:dyDescent="0.2">
      <c r="A204" s="19">
        <v>1</v>
      </c>
      <c r="B204" s="25" t="s">
        <v>125</v>
      </c>
      <c r="C204" s="18"/>
      <c r="D204" s="125"/>
      <c r="E204" s="150"/>
      <c r="F204" s="108"/>
      <c r="V204" s="26"/>
      <c r="W204" s="23"/>
      <c r="X204" s="22"/>
    </row>
    <row r="205" spans="1:24" s="21" customFormat="1" x14ac:dyDescent="0.2">
      <c r="A205" s="19"/>
      <c r="B205" s="25" t="s">
        <v>91</v>
      </c>
      <c r="C205" s="18" t="s">
        <v>88</v>
      </c>
      <c r="D205" s="125">
        <v>91</v>
      </c>
      <c r="E205" s="150"/>
      <c r="F205" s="108">
        <f>D205*E205</f>
        <v>0</v>
      </c>
      <c r="V205" s="26"/>
      <c r="W205" s="23"/>
      <c r="X205" s="22"/>
    </row>
    <row r="206" spans="1:24" s="21" customFormat="1" x14ac:dyDescent="0.2">
      <c r="A206" s="19"/>
      <c r="B206" s="25" t="s">
        <v>90</v>
      </c>
      <c r="C206" s="18" t="s">
        <v>9</v>
      </c>
      <c r="D206" s="125">
        <v>4</v>
      </c>
      <c r="E206" s="150"/>
      <c r="F206" s="108">
        <f>D206*E206</f>
        <v>0</v>
      </c>
      <c r="V206" s="26"/>
      <c r="W206" s="23"/>
      <c r="X206" s="22"/>
    </row>
    <row r="207" spans="1:24" s="21" customFormat="1" x14ac:dyDescent="0.2">
      <c r="A207" s="33"/>
      <c r="B207" s="38"/>
      <c r="C207" s="90"/>
      <c r="D207" s="136"/>
      <c r="E207" s="150"/>
      <c r="F207" s="111"/>
      <c r="V207" s="26"/>
      <c r="W207" s="23"/>
      <c r="X207" s="22"/>
    </row>
    <row r="208" spans="1:24" s="39" customFormat="1" ht="49.5" customHeight="1" x14ac:dyDescent="0.2">
      <c r="A208" s="19">
        <f>MAX(A201:A207)+1</f>
        <v>2</v>
      </c>
      <c r="B208" s="20" t="s">
        <v>46</v>
      </c>
      <c r="C208" s="75" t="s">
        <v>8</v>
      </c>
      <c r="D208" s="125">
        <f>D52</f>
        <v>12</v>
      </c>
      <c r="E208" s="150"/>
      <c r="F208" s="108">
        <f>D208*E208</f>
        <v>0</v>
      </c>
      <c r="G208" s="21"/>
      <c r="H208" s="21"/>
      <c r="I208" s="21"/>
      <c r="J208" s="21"/>
      <c r="K208" s="21"/>
      <c r="V208" s="26"/>
      <c r="W208" s="23">
        <f t="shared" si="0"/>
        <v>0</v>
      </c>
      <c r="X208" s="22">
        <f>V208+W208</f>
        <v>0</v>
      </c>
    </row>
    <row r="209" spans="1:24" s="21" customFormat="1" x14ac:dyDescent="0.2">
      <c r="A209" s="19"/>
      <c r="B209" s="20"/>
      <c r="C209" s="74"/>
      <c r="D209" s="115" t="s">
        <v>28</v>
      </c>
      <c r="E209" s="150"/>
      <c r="F209" s="108"/>
      <c r="G209" s="39"/>
      <c r="I209" s="39"/>
      <c r="J209" s="39"/>
      <c r="K209" s="39"/>
      <c r="V209" s="26"/>
      <c r="W209" s="23">
        <f t="shared" si="0"/>
        <v>0</v>
      </c>
      <c r="X209" s="22">
        <f>V209+W209</f>
        <v>0</v>
      </c>
    </row>
    <row r="210" spans="1:24" s="21" customFormat="1" ht="32.25" customHeight="1" x14ac:dyDescent="0.2">
      <c r="A210" s="19">
        <f>MAX(A203:A209)+1</f>
        <v>3</v>
      </c>
      <c r="B210" s="20" t="s">
        <v>10</v>
      </c>
      <c r="C210" s="74"/>
      <c r="D210" s="115"/>
      <c r="E210" s="150"/>
      <c r="F210" s="108"/>
      <c r="G210" s="39"/>
      <c r="I210" s="39"/>
      <c r="J210" s="39"/>
      <c r="K210" s="39"/>
      <c r="V210" s="26"/>
      <c r="W210" s="23">
        <f t="shared" si="0"/>
        <v>0</v>
      </c>
      <c r="X210" s="22">
        <f>V210+W210</f>
        <v>0</v>
      </c>
    </row>
    <row r="211" spans="1:24" s="21" customFormat="1" x14ac:dyDescent="0.2">
      <c r="A211" s="19"/>
      <c r="B211" s="20" t="s">
        <v>48</v>
      </c>
      <c r="C211" s="83" t="s">
        <v>47</v>
      </c>
      <c r="D211" s="114">
        <v>50</v>
      </c>
      <c r="E211" s="150"/>
      <c r="F211" s="108">
        <f>D211*E211</f>
        <v>0</v>
      </c>
      <c r="V211" s="26">
        <v>1850</v>
      </c>
      <c r="W211" s="23">
        <f t="shared" si="0"/>
        <v>185</v>
      </c>
      <c r="X211" s="22">
        <f t="shared" ref="X211:X217" si="1">V211+W211</f>
        <v>2035</v>
      </c>
    </row>
    <row r="212" spans="1:24" s="21" customFormat="1" x14ac:dyDescent="0.2">
      <c r="A212" s="19"/>
      <c r="B212" s="20" t="s">
        <v>49</v>
      </c>
      <c r="C212" s="83" t="s">
        <v>47</v>
      </c>
      <c r="D212" s="114">
        <v>60</v>
      </c>
      <c r="E212" s="150"/>
      <c r="F212" s="108">
        <f>D212*E212</f>
        <v>0</v>
      </c>
      <c r="V212" s="26">
        <v>1250</v>
      </c>
      <c r="W212" s="23">
        <f t="shared" ref="W212:W218" si="2">V212*0.1</f>
        <v>125</v>
      </c>
      <c r="X212" s="22">
        <f t="shared" si="1"/>
        <v>1375</v>
      </c>
    </row>
    <row r="213" spans="1:24" s="21" customFormat="1" x14ac:dyDescent="0.2">
      <c r="A213" s="19"/>
      <c r="B213" s="25"/>
      <c r="C213" s="74"/>
      <c r="D213" s="115" t="s">
        <v>28</v>
      </c>
      <c r="E213" s="150"/>
      <c r="F213" s="108"/>
      <c r="V213" s="26"/>
      <c r="W213" s="23">
        <f t="shared" si="2"/>
        <v>0</v>
      </c>
      <c r="X213" s="22">
        <f t="shared" si="1"/>
        <v>0</v>
      </c>
    </row>
    <row r="214" spans="1:24" s="21" customFormat="1" ht="19.5" customHeight="1" x14ac:dyDescent="0.2">
      <c r="A214" s="19">
        <f>MAX(A207:A211)+1</f>
        <v>4</v>
      </c>
      <c r="B214" s="25" t="s">
        <v>94</v>
      </c>
      <c r="C214" s="74" t="s">
        <v>9</v>
      </c>
      <c r="D214" s="115">
        <v>1</v>
      </c>
      <c r="E214" s="150"/>
      <c r="F214" s="108">
        <f>D214*E214</f>
        <v>0</v>
      </c>
      <c r="V214" s="26"/>
      <c r="W214" s="23"/>
      <c r="X214" s="22"/>
    </row>
    <row r="215" spans="1:24" s="21" customFormat="1" x14ac:dyDescent="0.2">
      <c r="A215" s="19"/>
      <c r="B215" s="25"/>
      <c r="C215" s="74"/>
      <c r="D215" s="115"/>
      <c r="E215" s="150"/>
      <c r="F215" s="108"/>
      <c r="V215" s="26"/>
      <c r="W215" s="23"/>
      <c r="X215" s="22"/>
    </row>
    <row r="216" spans="1:24" s="21" customFormat="1" ht="48.75" customHeight="1" x14ac:dyDescent="0.2">
      <c r="A216" s="19">
        <f>MAX(A210:A214)+1</f>
        <v>5</v>
      </c>
      <c r="B216" s="20" t="s">
        <v>50</v>
      </c>
      <c r="C216" s="75" t="s">
        <v>9</v>
      </c>
      <c r="D216" s="139">
        <v>1</v>
      </c>
      <c r="E216" s="150"/>
      <c r="F216" s="108">
        <f>D216*E216</f>
        <v>0</v>
      </c>
      <c r="V216" s="26"/>
      <c r="W216" s="23">
        <f t="shared" si="2"/>
        <v>0</v>
      </c>
      <c r="X216" s="22">
        <f t="shared" si="1"/>
        <v>0</v>
      </c>
    </row>
    <row r="217" spans="1:24" s="21" customFormat="1" x14ac:dyDescent="0.2">
      <c r="A217" s="19"/>
      <c r="B217" s="20"/>
      <c r="C217" s="91"/>
      <c r="D217" s="115" t="s">
        <v>28</v>
      </c>
      <c r="E217" s="150"/>
      <c r="F217" s="111"/>
      <c r="V217" s="26"/>
      <c r="W217" s="23">
        <f t="shared" si="2"/>
        <v>0</v>
      </c>
      <c r="X217" s="22">
        <f t="shared" si="1"/>
        <v>0</v>
      </c>
    </row>
    <row r="218" spans="1:24" s="21" customFormat="1" ht="47.25" customHeight="1" x14ac:dyDescent="0.2">
      <c r="A218" s="19">
        <f>MAX(A211:A217)+1</f>
        <v>6</v>
      </c>
      <c r="B218" s="20" t="s">
        <v>51</v>
      </c>
      <c r="C218" s="75" t="s">
        <v>9</v>
      </c>
      <c r="D218" s="139">
        <v>1</v>
      </c>
      <c r="E218" s="150"/>
      <c r="F218" s="108">
        <f>D218*E218</f>
        <v>0</v>
      </c>
      <c r="V218" s="26"/>
      <c r="W218" s="23">
        <f t="shared" si="2"/>
        <v>0</v>
      </c>
      <c r="X218" s="22">
        <f>V218+W218</f>
        <v>0</v>
      </c>
    </row>
    <row r="219" spans="1:24" s="21" customFormat="1" x14ac:dyDescent="0.2">
      <c r="A219" s="19"/>
      <c r="B219" s="25"/>
      <c r="C219" s="74"/>
      <c r="D219" s="115" t="s">
        <v>28</v>
      </c>
      <c r="E219" s="150"/>
      <c r="F219" s="108"/>
      <c r="X219" s="22"/>
    </row>
    <row r="220" spans="1:24" s="21" customFormat="1" ht="77.25" customHeight="1" x14ac:dyDescent="0.2">
      <c r="A220" s="19">
        <f>MAX(A216:A219)+1</f>
        <v>7</v>
      </c>
      <c r="B220" s="20" t="s">
        <v>126</v>
      </c>
      <c r="C220" s="75" t="s">
        <v>9</v>
      </c>
      <c r="D220" s="139">
        <v>1</v>
      </c>
      <c r="E220" s="150"/>
      <c r="F220" s="108">
        <f>D220*E220</f>
        <v>0</v>
      </c>
    </row>
    <row r="221" spans="1:24" s="21" customFormat="1" x14ac:dyDescent="0.2">
      <c r="A221" s="28"/>
      <c r="B221" s="25"/>
      <c r="C221" s="74"/>
      <c r="D221" s="115"/>
      <c r="E221" s="150"/>
      <c r="F221" s="108"/>
    </row>
    <row r="222" spans="1:24" s="21" customFormat="1" ht="64.5" customHeight="1" x14ac:dyDescent="0.2">
      <c r="A222" s="19">
        <f>MAX(A219:A221)+1</f>
        <v>8</v>
      </c>
      <c r="B222" s="20" t="s">
        <v>52</v>
      </c>
      <c r="C222" s="74"/>
      <c r="D222" s="115"/>
      <c r="E222" s="150"/>
      <c r="F222" s="108"/>
      <c r="X222" s="22"/>
    </row>
    <row r="223" spans="1:24" s="21" customFormat="1" ht="16.5" customHeight="1" x14ac:dyDescent="0.2">
      <c r="A223" s="19"/>
      <c r="B223" s="20" t="s">
        <v>93</v>
      </c>
      <c r="C223" s="74"/>
      <c r="D223" s="115"/>
      <c r="E223" s="150"/>
      <c r="F223" s="108">
        <f>0.1*(SUM(F75+F118+F138+F159+F191+F200))</f>
        <v>0</v>
      </c>
      <c r="X223" s="22"/>
    </row>
    <row r="224" spans="1:24" s="21" customFormat="1" x14ac:dyDescent="0.2">
      <c r="A224" s="19"/>
      <c r="B224" s="20"/>
      <c r="C224" s="73"/>
      <c r="D224" s="115"/>
      <c r="E224" s="150"/>
      <c r="F224" s="108"/>
      <c r="X224" s="22"/>
    </row>
    <row r="225" spans="1:24" s="21" customFormat="1" ht="16.5" customHeight="1" x14ac:dyDescent="0.2">
      <c r="A225" s="19">
        <f>MAX(A220:A224)+1</f>
        <v>9</v>
      </c>
      <c r="B225" s="20" t="s">
        <v>16</v>
      </c>
      <c r="C225" s="91" t="s">
        <v>47</v>
      </c>
      <c r="D225" s="115">
        <v>15</v>
      </c>
      <c r="E225" s="150"/>
      <c r="F225" s="108">
        <f>D225*E225</f>
        <v>0</v>
      </c>
      <c r="V225" s="26"/>
      <c r="W225" s="23">
        <f>V225*0.1</f>
        <v>0</v>
      </c>
      <c r="X225" s="22">
        <f>V225+W225</f>
        <v>0</v>
      </c>
    </row>
    <row r="226" spans="1:24" s="21" customFormat="1" ht="17.25" customHeight="1" thickBot="1" x14ac:dyDescent="0.25">
      <c r="A226" s="45"/>
      <c r="B226" s="46"/>
      <c r="C226" s="92"/>
      <c r="D226" s="140"/>
      <c r="E226" s="151"/>
      <c r="F226" s="110"/>
      <c r="V226" s="26"/>
      <c r="W226" s="23">
        <f>V226*0.1</f>
        <v>0</v>
      </c>
      <c r="X226" s="22">
        <f>V226+W226</f>
        <v>0</v>
      </c>
    </row>
    <row r="227" spans="1:24" s="21" customFormat="1" ht="15.75" thickTop="1" x14ac:dyDescent="0.25">
      <c r="A227" s="40"/>
      <c r="B227" s="49"/>
      <c r="C227" s="24"/>
      <c r="D227" s="141"/>
      <c r="E227" s="152" t="s">
        <v>27</v>
      </c>
      <c r="F227" s="95">
        <f>SUM(F204:F226)</f>
        <v>0</v>
      </c>
      <c r="X227" s="22"/>
    </row>
    <row r="228" spans="1:24" x14ac:dyDescent="0.2">
      <c r="A228" s="41"/>
      <c r="E228" s="113"/>
      <c r="F228" s="113"/>
    </row>
  </sheetData>
  <sheetProtection algorithmName="SHA-512" hashValue="R+lE9uqJzyA2Px1CdY/Uc5iJutziHlYF76cAbErNnP15M3NFCxhQxGkoLUmpVn5iF+ZLUs/gTTSD7MmMbiFfjw==" saltValue="IPGy7j6axW9x1L7Eqq7CsA==" spinCount="100000" sheet="1" objects="1" scenarios="1"/>
  <phoneticPr fontId="0" type="noConversion"/>
  <conditionalFormatting sqref="D56">
    <cfRule type="cellIs" dxfId="4" priority="6" stopIfTrue="1" operator="equal">
      <formula>0</formula>
    </cfRule>
  </conditionalFormatting>
  <conditionalFormatting sqref="D74">
    <cfRule type="cellIs" dxfId="3" priority="5" stopIfTrue="1" operator="equal">
      <formula>0</formula>
    </cfRule>
  </conditionalFormatting>
  <conditionalFormatting sqref="D158">
    <cfRule type="cellIs" dxfId="2" priority="3" stopIfTrue="1" operator="equal">
      <formula>0</formula>
    </cfRule>
  </conditionalFormatting>
  <conditionalFormatting sqref="B199">
    <cfRule type="expression" dxfId="1" priority="2" stopIfTrue="1">
      <formula>A199=1</formula>
    </cfRule>
  </conditionalFormatting>
  <conditionalFormatting sqref="D54">
    <cfRule type="cellIs" dxfId="0" priority="1" stopIfTrue="1" operator="equal">
      <formula>0</formula>
    </cfRule>
  </conditionalFormatting>
  <printOptions gridLines="1" gridLinesSet="0"/>
  <pageMargins left="1.1811023622047245" right="0.75" top="0.98425196850393704" bottom="0.98425196850393704" header="0.51181102362204722" footer="0.51181102362204722"/>
  <pageSetup paperSize="256" scale="79" orientation="portrait" r:id="rId1"/>
  <headerFooter alignWithMargins="0">
    <oddHeader>&amp;L&amp;"Arial Black,Navadno"&amp;14         region&amp;"Arial,Navadno"&amp;10 &amp;9d.o.o. Brežice</oddHeader>
    <oddFooter>&amp;R&amp;"Times New Roman CE,Običajno"Stran &amp;P/&amp;N</oddFooter>
  </headerFooter>
  <rowBreaks count="5" manualBreakCount="5">
    <brk id="43" max="7" man="1"/>
    <brk id="76" max="5" man="1"/>
    <brk id="133" max="5" man="1"/>
    <brk id="160" max="5" man="1"/>
    <brk id="19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3</vt:i4>
      </vt:variant>
    </vt:vector>
  </HeadingPairs>
  <TitlesOfParts>
    <vt:vector size="4" baseType="lpstr">
      <vt:lpstr>PB-2</vt:lpstr>
      <vt:lpstr>'PB-2'!Področje_tiskanja</vt:lpstr>
      <vt:lpstr>'PB-2'!Print_Area_MI</vt:lpstr>
      <vt:lpstr>'PB-2'!Tiskanje_naslovov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</dc:creator>
  <cp:lastModifiedBy>Vilma Zupančič</cp:lastModifiedBy>
  <cp:lastPrinted>2019-09-06T10:08:11Z</cp:lastPrinted>
  <dcterms:created xsi:type="dcterms:W3CDTF">1997-05-18T00:05:19Z</dcterms:created>
  <dcterms:modified xsi:type="dcterms:W3CDTF">2019-10-14T12:01:56Z</dcterms:modified>
</cp:coreProperties>
</file>